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X:\03_業務課\②技能検定\R07後期\②受付\"/>
    </mc:Choice>
  </mc:AlternateContent>
  <xr:revisionPtr revIDLastSave="0" documentId="13_ncr:1_{08DBB6EE-E846-40EC-B622-8FF87AEC266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入 力 用" sheetId="4" r:id="rId1"/>
    <sheet name="記 入 例" sheetId="5" r:id="rId2"/>
  </sheets>
  <definedNames>
    <definedName name="_xlnm.Print_Area" localSheetId="1">'記 入 例'!$A$1:$S$34</definedName>
    <definedName name="_xlnm.Print_Area" localSheetId="0">'入 力 用'!$B$1:$T$34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5" l="1"/>
  <c r="M6" i="4" l="1"/>
  <c r="M4" i="4"/>
  <c r="P4" i="4"/>
  <c r="R6" i="4"/>
  <c r="J6" i="4" l="1"/>
  <c r="I6" i="5"/>
  <c r="P20" i="5" l="1"/>
  <c r="Q11" i="5"/>
  <c r="Q12" i="5"/>
  <c r="Q13" i="5"/>
  <c r="Q14" i="5"/>
  <c r="Q15" i="5"/>
  <c r="Q16" i="5"/>
  <c r="Q17" i="5"/>
  <c r="Q18" i="5"/>
  <c r="Q19" i="5"/>
  <c r="Q10" i="5"/>
  <c r="Q20" i="5" s="1"/>
  <c r="Q34" i="5" s="1"/>
  <c r="Q6" i="5" l="1"/>
  <c r="O6" i="5"/>
  <c r="L6" i="5"/>
  <c r="O4" i="5"/>
  <c r="B42" i="5"/>
  <c r="C42" i="5"/>
  <c r="D42" i="5"/>
  <c r="E42" i="5"/>
  <c r="F42" i="5"/>
  <c r="G42" i="5"/>
  <c r="H42" i="5"/>
  <c r="J42" i="5"/>
  <c r="K42" i="5"/>
  <c r="L42" i="5"/>
  <c r="M42" i="5"/>
  <c r="N42" i="5"/>
  <c r="O42" i="5"/>
  <c r="P42" i="5"/>
  <c r="R42" i="5"/>
  <c r="S42" i="5"/>
  <c r="B43" i="5"/>
  <c r="C43" i="5"/>
  <c r="D43" i="5"/>
  <c r="E43" i="5"/>
  <c r="F43" i="5"/>
  <c r="G43" i="5"/>
  <c r="H43" i="5"/>
  <c r="J43" i="5"/>
  <c r="K43" i="5"/>
  <c r="L43" i="5"/>
  <c r="M43" i="5"/>
  <c r="N43" i="5"/>
  <c r="O43" i="5"/>
  <c r="P43" i="5"/>
  <c r="R43" i="5"/>
  <c r="S43" i="5"/>
  <c r="B44" i="5"/>
  <c r="C44" i="5"/>
  <c r="D44" i="5"/>
  <c r="E44" i="5"/>
  <c r="F44" i="5"/>
  <c r="G44" i="5"/>
  <c r="H44" i="5"/>
  <c r="J44" i="5"/>
  <c r="K44" i="5"/>
  <c r="L44" i="5"/>
  <c r="M44" i="5"/>
  <c r="N44" i="5"/>
  <c r="O44" i="5"/>
  <c r="P44" i="5"/>
  <c r="R44" i="5"/>
  <c r="S44" i="5"/>
  <c r="B45" i="5"/>
  <c r="C45" i="5"/>
  <c r="D45" i="5"/>
  <c r="E45" i="5"/>
  <c r="F45" i="5"/>
  <c r="G45" i="5"/>
  <c r="H45" i="5"/>
  <c r="J45" i="5"/>
  <c r="K45" i="5"/>
  <c r="L45" i="5"/>
  <c r="M45" i="5"/>
  <c r="N45" i="5"/>
  <c r="O45" i="5"/>
  <c r="P45" i="5"/>
  <c r="R45" i="5"/>
  <c r="S45" i="5"/>
  <c r="B46" i="5"/>
  <c r="C46" i="5"/>
  <c r="D46" i="5"/>
  <c r="E46" i="5"/>
  <c r="F46" i="5"/>
  <c r="G46" i="5"/>
  <c r="H46" i="5"/>
  <c r="J46" i="5"/>
  <c r="K46" i="5"/>
  <c r="L46" i="5"/>
  <c r="M46" i="5"/>
  <c r="N46" i="5"/>
  <c r="O46" i="5"/>
  <c r="P46" i="5"/>
  <c r="R46" i="5"/>
  <c r="S46" i="5"/>
  <c r="B47" i="5"/>
  <c r="C47" i="5"/>
  <c r="D47" i="5"/>
  <c r="E47" i="5"/>
  <c r="F47" i="5"/>
  <c r="G47" i="5"/>
  <c r="H47" i="5"/>
  <c r="J47" i="5"/>
  <c r="K47" i="5"/>
  <c r="L47" i="5"/>
  <c r="M47" i="5"/>
  <c r="N47" i="5"/>
  <c r="O47" i="5"/>
  <c r="P47" i="5"/>
  <c r="R47" i="5"/>
  <c r="S47" i="5"/>
  <c r="B48" i="5"/>
  <c r="C48" i="5"/>
  <c r="D48" i="5"/>
  <c r="E48" i="5"/>
  <c r="F48" i="5"/>
  <c r="G48" i="5"/>
  <c r="H48" i="5"/>
  <c r="J48" i="5"/>
  <c r="K48" i="5"/>
  <c r="L48" i="5"/>
  <c r="M48" i="5"/>
  <c r="N48" i="5"/>
  <c r="O48" i="5"/>
  <c r="P48" i="5"/>
  <c r="R48" i="5"/>
  <c r="S48" i="5"/>
  <c r="B49" i="5"/>
  <c r="C49" i="5"/>
  <c r="D49" i="5"/>
  <c r="E49" i="5"/>
  <c r="F49" i="5"/>
  <c r="G49" i="5"/>
  <c r="H49" i="5"/>
  <c r="J49" i="5"/>
  <c r="K49" i="5"/>
  <c r="L49" i="5"/>
  <c r="M49" i="5"/>
  <c r="N49" i="5"/>
  <c r="O49" i="5"/>
  <c r="P49" i="5"/>
  <c r="R49" i="5"/>
  <c r="S49" i="5"/>
  <c r="B50" i="5"/>
  <c r="C50" i="5"/>
  <c r="D50" i="5"/>
  <c r="E50" i="5"/>
  <c r="F50" i="5"/>
  <c r="G50" i="5"/>
  <c r="H50" i="5"/>
  <c r="J50" i="5"/>
  <c r="K50" i="5"/>
  <c r="L50" i="5"/>
  <c r="M50" i="5"/>
  <c r="N50" i="5"/>
  <c r="O50" i="5"/>
  <c r="P50" i="5"/>
  <c r="R50" i="5"/>
  <c r="S50" i="5"/>
  <c r="B51" i="5"/>
  <c r="C51" i="5"/>
  <c r="D51" i="5"/>
  <c r="E51" i="5"/>
  <c r="F51" i="5"/>
  <c r="G51" i="5"/>
  <c r="H51" i="5"/>
  <c r="J51" i="5"/>
  <c r="K51" i="5"/>
  <c r="L51" i="5"/>
  <c r="M51" i="5"/>
  <c r="N51" i="5"/>
  <c r="O51" i="5"/>
  <c r="P51" i="5"/>
  <c r="R51" i="5"/>
  <c r="S51" i="5"/>
  <c r="B52" i="5"/>
  <c r="C52" i="5"/>
  <c r="D52" i="5"/>
  <c r="E52" i="5"/>
  <c r="F52" i="5"/>
  <c r="G52" i="5"/>
  <c r="H52" i="5"/>
  <c r="J52" i="5"/>
  <c r="K52" i="5"/>
  <c r="L52" i="5"/>
  <c r="M52" i="5"/>
  <c r="N52" i="5"/>
  <c r="O52" i="5"/>
  <c r="P52" i="5"/>
  <c r="R52" i="5"/>
  <c r="S52" i="5"/>
  <c r="B53" i="5"/>
  <c r="C53" i="5"/>
  <c r="D53" i="5"/>
  <c r="E53" i="5"/>
  <c r="F53" i="5"/>
  <c r="G53" i="5"/>
  <c r="H53" i="5"/>
  <c r="J53" i="5"/>
  <c r="K53" i="5"/>
  <c r="L53" i="5"/>
  <c r="M53" i="5"/>
  <c r="N53" i="5"/>
  <c r="O53" i="5"/>
  <c r="P53" i="5"/>
  <c r="R53" i="5"/>
  <c r="S53" i="5"/>
  <c r="B54" i="5"/>
  <c r="C54" i="5"/>
  <c r="D54" i="5"/>
  <c r="E54" i="5"/>
  <c r="F54" i="5"/>
  <c r="G54" i="5"/>
  <c r="H54" i="5"/>
  <c r="J54" i="5"/>
  <c r="K54" i="5"/>
  <c r="L54" i="5"/>
  <c r="M54" i="5"/>
  <c r="N54" i="5"/>
  <c r="O54" i="5"/>
  <c r="P54" i="5"/>
  <c r="R54" i="5"/>
  <c r="S54" i="5"/>
  <c r="B55" i="5"/>
  <c r="C55" i="5"/>
  <c r="D55" i="5"/>
  <c r="E55" i="5"/>
  <c r="F55" i="5"/>
  <c r="G55" i="5"/>
  <c r="H55" i="5"/>
  <c r="J55" i="5"/>
  <c r="K55" i="5"/>
  <c r="L55" i="5"/>
  <c r="M55" i="5"/>
  <c r="N55" i="5"/>
  <c r="O55" i="5"/>
  <c r="P55" i="5"/>
  <c r="R55" i="5"/>
  <c r="S55" i="5"/>
  <c r="B56" i="5"/>
  <c r="C56" i="5"/>
  <c r="D56" i="5"/>
  <c r="E56" i="5"/>
  <c r="F56" i="5"/>
  <c r="G56" i="5"/>
  <c r="H56" i="5"/>
  <c r="J56" i="5"/>
  <c r="K56" i="5"/>
  <c r="L56" i="5"/>
  <c r="M56" i="5"/>
  <c r="N56" i="5"/>
  <c r="O56" i="5"/>
  <c r="P56" i="5"/>
  <c r="R56" i="5"/>
  <c r="S56" i="5"/>
  <c r="B57" i="5"/>
  <c r="C57" i="5"/>
  <c r="D57" i="5"/>
  <c r="E57" i="5"/>
  <c r="F57" i="5"/>
  <c r="G57" i="5"/>
  <c r="H57" i="5"/>
  <c r="J57" i="5"/>
  <c r="K57" i="5"/>
  <c r="L57" i="5"/>
  <c r="M57" i="5"/>
  <c r="N57" i="5"/>
  <c r="O57" i="5"/>
  <c r="P57" i="5"/>
  <c r="R57" i="5"/>
  <c r="S57" i="5"/>
  <c r="U56" i="5" l="1"/>
  <c r="W56" i="5" s="1"/>
  <c r="K29" i="4" s="1"/>
  <c r="U54" i="5"/>
  <c r="W54" i="5" s="1"/>
  <c r="U53" i="5"/>
  <c r="W53" i="5" s="1"/>
  <c r="U52" i="5"/>
  <c r="W52" i="5" s="1"/>
  <c r="U51" i="5"/>
  <c r="W51" i="5" s="1"/>
  <c r="U50" i="5"/>
  <c r="W50" i="5" s="1"/>
  <c r="U49" i="5"/>
  <c r="W49" i="5" s="1"/>
  <c r="U48" i="5"/>
  <c r="W48" i="5" s="1"/>
  <c r="U47" i="5"/>
  <c r="W47" i="5" s="1"/>
  <c r="U46" i="5"/>
  <c r="W46" i="5" s="1"/>
  <c r="U45" i="5"/>
  <c r="W45" i="5" s="1"/>
  <c r="U57" i="5"/>
  <c r="W57" i="5" s="1"/>
  <c r="U55" i="5"/>
  <c r="W55" i="5" s="1"/>
  <c r="U43" i="5"/>
  <c r="W43" i="5" s="1"/>
  <c r="U44" i="5"/>
  <c r="W44" i="5" s="1"/>
  <c r="U42" i="5"/>
  <c r="P6" i="4"/>
  <c r="W42" i="5" l="1"/>
  <c r="R58" i="5"/>
  <c r="S58" i="5"/>
  <c r="R59" i="5"/>
  <c r="S59" i="5"/>
  <c r="R60" i="5"/>
  <c r="S60" i="5"/>
  <c r="R61" i="5"/>
  <c r="S61" i="5"/>
  <c r="J58" i="5"/>
  <c r="K58" i="5"/>
  <c r="L58" i="5"/>
  <c r="M58" i="5"/>
  <c r="N58" i="5"/>
  <c r="O58" i="5"/>
  <c r="P58" i="5"/>
  <c r="J59" i="5"/>
  <c r="K59" i="5"/>
  <c r="L59" i="5"/>
  <c r="M59" i="5"/>
  <c r="N59" i="5"/>
  <c r="O59" i="5"/>
  <c r="P59" i="5"/>
  <c r="J60" i="5"/>
  <c r="K60" i="5"/>
  <c r="L60" i="5"/>
  <c r="M60" i="5"/>
  <c r="N60" i="5"/>
  <c r="O60" i="5"/>
  <c r="P60" i="5"/>
  <c r="J61" i="5"/>
  <c r="K61" i="5"/>
  <c r="L61" i="5"/>
  <c r="M61" i="5"/>
  <c r="N61" i="5"/>
  <c r="O61" i="5"/>
  <c r="P61" i="5"/>
  <c r="B58" i="5"/>
  <c r="C58" i="5"/>
  <c r="D58" i="5"/>
  <c r="E58" i="5"/>
  <c r="F58" i="5"/>
  <c r="G58" i="5"/>
  <c r="H58" i="5"/>
  <c r="B59" i="5"/>
  <c r="C59" i="5"/>
  <c r="D59" i="5"/>
  <c r="E59" i="5"/>
  <c r="F59" i="5"/>
  <c r="G59" i="5"/>
  <c r="H59" i="5"/>
  <c r="B60" i="5"/>
  <c r="C60" i="5"/>
  <c r="D60" i="5"/>
  <c r="E60" i="5"/>
  <c r="F60" i="5"/>
  <c r="G60" i="5"/>
  <c r="H60" i="5"/>
  <c r="B61" i="5"/>
  <c r="C61" i="5"/>
  <c r="D61" i="5"/>
  <c r="E61" i="5"/>
  <c r="F61" i="5"/>
  <c r="G61" i="5"/>
  <c r="H61" i="5"/>
  <c r="K30" i="4" l="1"/>
  <c r="K22" i="4"/>
  <c r="U59" i="5"/>
  <c r="K25" i="4"/>
  <c r="U60" i="5"/>
  <c r="U61" i="5"/>
  <c r="W61" i="5" s="1"/>
  <c r="K28" i="4"/>
  <c r="U58" i="5"/>
  <c r="AJ46" i="5" l="1"/>
  <c r="W58" i="5"/>
  <c r="K31" i="4" s="1"/>
  <c r="AR42" i="5"/>
  <c r="AN46" i="5"/>
  <c r="AV48" i="5"/>
  <c r="AJ53" i="5"/>
  <c r="AJ52" i="5"/>
  <c r="AB43" i="5"/>
  <c r="AN63" i="5"/>
  <c r="Q18" i="4" s="1"/>
  <c r="R18" i="4" s="1"/>
  <c r="AR48" i="5"/>
  <c r="AN47" i="5"/>
  <c r="AF45" i="5"/>
  <c r="AV42" i="5"/>
  <c r="AJ42" i="5"/>
  <c r="AB45" i="5"/>
  <c r="AN58" i="5"/>
  <c r="AR59" i="5"/>
  <c r="Q29" i="4" s="1"/>
  <c r="R29" i="4" s="1"/>
  <c r="AJ59" i="5"/>
  <c r="Q26" i="4" s="1"/>
  <c r="R26" i="4" s="1"/>
  <c r="AN43" i="5"/>
  <c r="AV43" i="5"/>
  <c r="AJ48" i="5"/>
  <c r="AF48" i="5"/>
  <c r="AR44" i="5"/>
  <c r="AV58" i="5"/>
  <c r="AB52" i="5"/>
  <c r="AB57" i="5"/>
  <c r="Q24" i="4" s="1"/>
  <c r="R24" i="4" s="1"/>
  <c r="AF42" i="5"/>
  <c r="AN49" i="5"/>
  <c r="AB59" i="5"/>
  <c r="Q23" i="4" s="1"/>
  <c r="AV44" i="5"/>
  <c r="AJ43" i="5"/>
  <c r="AN57" i="5"/>
  <c r="AJ44" i="5"/>
  <c r="AR46" i="5"/>
  <c r="AV46" i="5"/>
  <c r="AN42" i="5"/>
  <c r="AR52" i="5"/>
  <c r="AN45" i="5"/>
  <c r="AB53" i="5"/>
  <c r="AF47" i="5"/>
  <c r="AF63" i="5"/>
  <c r="Q19" i="4" s="1"/>
  <c r="R19" i="4" s="1"/>
  <c r="AJ51" i="5"/>
  <c r="AN48" i="5"/>
  <c r="AV57" i="5"/>
  <c r="AF44" i="5"/>
  <c r="AB42" i="5"/>
  <c r="AV45" i="5"/>
  <c r="AF57" i="5"/>
  <c r="AB44" i="5"/>
  <c r="AF58" i="5"/>
  <c r="AF46" i="5"/>
  <c r="AB51" i="5"/>
  <c r="AB46" i="5"/>
  <c r="AJ57" i="5"/>
  <c r="Q27" i="4" s="1"/>
  <c r="R27" i="4" s="1"/>
  <c r="AN44" i="5"/>
  <c r="AV49" i="5"/>
  <c r="AR53" i="5"/>
  <c r="AV47" i="5"/>
  <c r="AF49" i="5"/>
  <c r="AR43" i="5"/>
  <c r="AR57" i="5"/>
  <c r="Q30" i="4" s="1"/>
  <c r="R30" i="4" s="1"/>
  <c r="AR51" i="5"/>
  <c r="AF43" i="5"/>
  <c r="W60" i="5"/>
  <c r="K33" i="4" s="1"/>
  <c r="W59" i="5"/>
  <c r="K32" i="4" s="1"/>
  <c r="K24" i="4"/>
  <c r="K27" i="4"/>
  <c r="K23" i="4"/>
  <c r="K26" i="4"/>
  <c r="K34" i="4"/>
  <c r="K21" i="4"/>
  <c r="K19" i="4"/>
  <c r="K20" i="4"/>
  <c r="K16" i="4"/>
  <c r="K18" i="4"/>
  <c r="K17" i="4"/>
  <c r="B16" i="4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Q28" i="4" l="1"/>
  <c r="R28" i="4" s="1"/>
  <c r="Q12" i="4"/>
  <c r="R12" i="4" s="1"/>
  <c r="Q15" i="4"/>
  <c r="R15" i="4" s="1"/>
  <c r="Q31" i="4"/>
  <c r="R31" i="4" s="1"/>
  <c r="Q25" i="4"/>
  <c r="R25" i="4" s="1"/>
  <c r="Q13" i="4"/>
  <c r="R13" i="4" s="1"/>
  <c r="R23" i="4"/>
  <c r="Q17" i="4"/>
  <c r="R17" i="4" s="1"/>
  <c r="Q14" i="4"/>
  <c r="R14" i="4" s="1"/>
  <c r="Q11" i="4"/>
  <c r="R11" i="4" s="1"/>
  <c r="Q16" i="4"/>
  <c r="R16" i="4" s="1"/>
  <c r="Q10" i="4"/>
  <c r="R10" i="4" s="1"/>
  <c r="Q9" i="4"/>
  <c r="K15" i="4"/>
  <c r="Q32" i="4" l="1"/>
  <c r="R32" i="4"/>
  <c r="R9" i="4"/>
  <c r="R20" i="4" s="1"/>
  <c r="Q20" i="4"/>
  <c r="R34" i="4" l="1"/>
</calcChain>
</file>

<file path=xl/sharedStrings.xml><?xml version="1.0" encoding="utf-8"?>
<sst xmlns="http://schemas.openxmlformats.org/spreadsheetml/2006/main" count="234" uniqueCount="145">
  <si>
    <t>Ａ甲</t>
  </si>
  <si>
    <t>氏名</t>
    <rPh sb="0" eb="2">
      <t>シメイ</t>
    </rPh>
    <phoneticPr fontId="4"/>
  </si>
  <si>
    <t>作業名</t>
    <rPh sb="0" eb="2">
      <t>サギョウ</t>
    </rPh>
    <rPh sb="2" eb="3">
      <t>メイ</t>
    </rPh>
    <phoneticPr fontId="4"/>
  </si>
  <si>
    <t>級</t>
    <rPh sb="0" eb="1">
      <t>キュウ</t>
    </rPh>
    <phoneticPr fontId="4"/>
  </si>
  <si>
    <t>ＦＡＸ</t>
    <phoneticPr fontId="4"/>
  </si>
  <si>
    <t>ＴＥＬ</t>
    <phoneticPr fontId="4"/>
  </si>
  <si>
    <t>担当者名</t>
    <rPh sb="0" eb="3">
      <t>タントウシャ</t>
    </rPh>
    <rPh sb="3" eb="4">
      <t>ナ</t>
    </rPh>
    <phoneticPr fontId="4"/>
  </si>
  <si>
    <t>担当者所属</t>
    <rPh sb="0" eb="3">
      <t>タントウシャ</t>
    </rPh>
    <rPh sb="3" eb="5">
      <t>ショゾク</t>
    </rPh>
    <phoneticPr fontId="4"/>
  </si>
  <si>
    <t>事業所名</t>
    <rPh sb="0" eb="3">
      <t>ジギョウショ</t>
    </rPh>
    <rPh sb="3" eb="4">
      <t>ナ</t>
    </rPh>
    <phoneticPr fontId="4"/>
  </si>
  <si>
    <t>○</t>
  </si>
  <si>
    <t>減額
対象</t>
    <phoneticPr fontId="1"/>
  </si>
  <si>
    <t>金額</t>
    <rPh sb="0" eb="2">
      <t>キンガク</t>
    </rPh>
    <phoneticPr fontId="4"/>
  </si>
  <si>
    <t>№</t>
    <phoneticPr fontId="4"/>
  </si>
  <si>
    <t>所在地</t>
    <rPh sb="0" eb="3">
      <t>ショザイチ</t>
    </rPh>
    <phoneticPr fontId="1"/>
  </si>
  <si>
    <t>受検
区分</t>
    <rPh sb="0" eb="2">
      <t>ジュケン</t>
    </rPh>
    <phoneticPr fontId="4"/>
  </si>
  <si>
    <t>【受検手数料　一括振込申請書】</t>
    <rPh sb="1" eb="3">
      <t>ジュケン</t>
    </rPh>
    <rPh sb="3" eb="6">
      <t>テスウリョウ</t>
    </rPh>
    <rPh sb="9" eb="11">
      <t>フリコミ</t>
    </rPh>
    <rPh sb="11" eb="14">
      <t>シンセイショ</t>
    </rPh>
    <phoneticPr fontId="1"/>
  </si>
  <si>
    <t>Ｃ</t>
  </si>
  <si>
    <t>ー,○</t>
  </si>
  <si>
    <t>合計</t>
    <rPh sb="0" eb="2">
      <t>ゴウケイ</t>
    </rPh>
    <phoneticPr fontId="1"/>
  </si>
  <si>
    <t>特級</t>
    <phoneticPr fontId="1"/>
  </si>
  <si>
    <t>五輪</t>
    <phoneticPr fontId="1"/>
  </si>
  <si>
    <t>Ａ甲</t>
    <phoneticPr fontId="1"/>
  </si>
  <si>
    <t>Ａ乙</t>
    <phoneticPr fontId="1"/>
  </si>
  <si>
    <t>Ａ丙</t>
    <phoneticPr fontId="1"/>
  </si>
  <si>
    <t>Ｂ</t>
    <phoneticPr fontId="1"/>
  </si>
  <si>
    <t>Ｃ</t>
    <phoneticPr fontId="1"/>
  </si>
  <si>
    <t>Ｄ</t>
    <phoneticPr fontId="1"/>
  </si>
  <si>
    <t>ー</t>
    <phoneticPr fontId="1"/>
  </si>
  <si>
    <t>○</t>
    <phoneticPr fontId="1"/>
  </si>
  <si>
    <t>１級</t>
  </si>
  <si>
    <t>特級,１級,２級,３級,３級在学,単一等級,五輪,２級 兼 五輪</t>
    <phoneticPr fontId="1"/>
  </si>
  <si>
    <t>２級</t>
  </si>
  <si>
    <t>３級</t>
  </si>
  <si>
    <t>単一等級</t>
  </si>
  <si>
    <t>在学</t>
  </si>
  <si>
    <t xml:space="preserve">【区分別集計表　自動計算】  </t>
    <rPh sb="1" eb="3">
      <t>クブン</t>
    </rPh>
    <rPh sb="3" eb="4">
      <t>ベツ</t>
    </rPh>
    <rPh sb="4" eb="7">
      <t>シュウケイヒョウ</t>
    </rPh>
    <rPh sb="8" eb="10">
      <t>ジドウ</t>
    </rPh>
    <rPh sb="10" eb="12">
      <t>ケイサン</t>
    </rPh>
    <phoneticPr fontId="3"/>
  </si>
  <si>
    <t>受検区分</t>
    <rPh sb="0" eb="2">
      <t>ジュケン</t>
    </rPh>
    <rPh sb="2" eb="4">
      <t>クブン</t>
    </rPh>
    <phoneticPr fontId="3"/>
  </si>
  <si>
    <t>受検手数料</t>
    <rPh sb="0" eb="2">
      <t>ジュケン</t>
    </rPh>
    <rPh sb="2" eb="5">
      <t>テスウリョウ</t>
    </rPh>
    <phoneticPr fontId="3"/>
  </si>
  <si>
    <t>人数（人）</t>
    <rPh sb="0" eb="2">
      <t>ニンズウ</t>
    </rPh>
    <rPh sb="3" eb="4">
      <t>ニン</t>
    </rPh>
    <phoneticPr fontId="3"/>
  </si>
  <si>
    <t>金額（円）</t>
    <rPh sb="0" eb="2">
      <t>キンガク</t>
    </rPh>
    <rPh sb="3" eb="4">
      <t>エン</t>
    </rPh>
    <phoneticPr fontId="3"/>
  </si>
  <si>
    <t>減額あり</t>
    <rPh sb="0" eb="2">
      <t>ゲンガク</t>
    </rPh>
    <phoneticPr fontId="3"/>
  </si>
  <si>
    <t>減額なし</t>
    <rPh sb="0" eb="2">
      <t>ゲンガク</t>
    </rPh>
    <phoneticPr fontId="3"/>
  </si>
  <si>
    <t>合計</t>
    <rPh sb="0" eb="2">
      <t>ゴウケイ</t>
    </rPh>
    <phoneticPr fontId="3"/>
  </si>
  <si>
    <t>3級在学</t>
    <rPh sb="1" eb="2">
      <t>キュウ</t>
    </rPh>
    <rPh sb="2" eb="4">
      <t>ザイガク</t>
    </rPh>
    <phoneticPr fontId="3"/>
  </si>
  <si>
    <t>減額あり</t>
    <rPh sb="0" eb="2">
      <t>ゲンガク</t>
    </rPh>
    <phoneticPr fontId="1"/>
  </si>
  <si>
    <t>減額なし</t>
    <rPh sb="0" eb="2">
      <t>ゲンガク</t>
    </rPh>
    <phoneticPr fontId="1"/>
  </si>
  <si>
    <t>総合計</t>
    <rPh sb="0" eb="2">
      <t>ソウゴウ</t>
    </rPh>
    <rPh sb="2" eb="3">
      <t>ケイ</t>
    </rPh>
    <phoneticPr fontId="3"/>
  </si>
  <si>
    <t>円</t>
    <rPh sb="0" eb="1">
      <t>エン</t>
    </rPh>
    <phoneticPr fontId="5"/>
  </si>
  <si>
    <t>A甲
（両方受検）</t>
  </si>
  <si>
    <t>A乙（学科のみ）</t>
  </si>
  <si>
    <t>A丙
（実技のみ）</t>
  </si>
  <si>
    <t>B（実技免除）</t>
  </si>
  <si>
    <t>C
（学科免除）</t>
  </si>
  <si>
    <t>D（両方免除）</t>
  </si>
  <si>
    <t>五　輪</t>
  </si>
  <si>
    <t>提出日</t>
    <rPh sb="0" eb="2">
      <t>テイシュツ</t>
    </rPh>
    <rPh sb="2" eb="3">
      <t>ビ</t>
    </rPh>
    <phoneticPr fontId="1"/>
  </si>
  <si>
    <t>Ａ甲,Ａ乙,Ａ丙,Ｂ,Ｃ,Ｄ,五輪</t>
    <phoneticPr fontId="1"/>
  </si>
  <si>
    <t>五輪</t>
    <rPh sb="0" eb="2">
      <t>ゴリン</t>
    </rPh>
    <phoneticPr fontId="1"/>
  </si>
  <si>
    <t>事業所名</t>
    <rPh sb="0" eb="3">
      <t>ジギョウショ</t>
    </rPh>
    <rPh sb="3" eb="4">
      <t>メイ</t>
    </rPh>
    <phoneticPr fontId="1"/>
  </si>
  <si>
    <t>担当者所属</t>
  </si>
  <si>
    <t>担当者名</t>
    <phoneticPr fontId="1"/>
  </si>
  <si>
    <t>TEL</t>
    <phoneticPr fontId="1"/>
  </si>
  <si>
    <t>ＦＡＸ</t>
  </si>
  <si>
    <t>№　　</t>
    <phoneticPr fontId="1"/>
  </si>
  <si>
    <t>東京都職業能力開発協会</t>
    <rPh sb="0" eb="11">
      <t>ノウカイキョウ</t>
    </rPh>
    <phoneticPr fontId="1"/>
  </si>
  <si>
    <t>技能検定部</t>
    <rPh sb="0" eb="5">
      <t>ギノウケンテイブ</t>
    </rPh>
    <phoneticPr fontId="1"/>
  </si>
  <si>
    <t>能開太郎</t>
    <rPh sb="0" eb="2">
      <t>ノウカイ</t>
    </rPh>
    <rPh sb="2" eb="4">
      <t>タロウ</t>
    </rPh>
    <phoneticPr fontId="1"/>
  </si>
  <si>
    <t>ー</t>
  </si>
  <si>
    <t>U42=102,"¥21,300",</t>
  </si>
  <si>
    <t>U42=103,"¥3,100",</t>
  </si>
  <si>
    <t>U42=104,"¥18,200",</t>
  </si>
  <si>
    <t>U42=105,"¥3,100",</t>
  </si>
  <si>
    <t>U42=106,"¥18,200",</t>
  </si>
  <si>
    <t>U42=107,"¥2,000",</t>
  </si>
  <si>
    <t>U42=121,"¥21,300",</t>
  </si>
  <si>
    <t>U42=122,"¥3,100",</t>
  </si>
  <si>
    <t>U42=123,"¥18,200",</t>
  </si>
  <si>
    <t>U42=124,"¥3,100",</t>
  </si>
  <si>
    <t>U42=125,"¥18,200",</t>
  </si>
  <si>
    <t>U42=126,"¥2,000",</t>
  </si>
  <si>
    <t>U42=131,"¥21,300",</t>
  </si>
  <si>
    <t>U42=132,"¥3,100",</t>
  </si>
  <si>
    <t>U42=133,"¥18,200",</t>
  </si>
  <si>
    <t>U42=134,"¥3,100",</t>
  </si>
  <si>
    <t>U42=135,"¥18,200",</t>
  </si>
  <si>
    <t>U42=136,"¥2,000",</t>
  </si>
  <si>
    <t>U42=231,"¥12,300",</t>
  </si>
  <si>
    <t>U42=232,"¥3,100",</t>
  </si>
  <si>
    <t>U42=233,"¥9,200",</t>
  </si>
  <si>
    <t>U42=234,"¥3,100",</t>
  </si>
  <si>
    <t>U42=235,"¥9,200",</t>
  </si>
  <si>
    <t>U42=236,"¥2,000",</t>
  </si>
  <si>
    <t>U42=141,"¥21,300",</t>
  </si>
  <si>
    <t>U42=142,"¥3,100",</t>
  </si>
  <si>
    <t>U42=143,"¥18,200",</t>
  </si>
  <si>
    <t>U42=144,"¥3,100",</t>
  </si>
  <si>
    <t>U42=145,"¥18,200",</t>
  </si>
  <si>
    <t>U42=146,"¥2,000",</t>
  </si>
  <si>
    <t>U42=241,"¥12,300",</t>
  </si>
  <si>
    <t>U42=242,"¥3,100",</t>
  </si>
  <si>
    <t>U42=243,"¥9,200",</t>
  </si>
  <si>
    <t>U42=244,"¥3,100",</t>
  </si>
  <si>
    <t>U42=245,"¥9,200",</t>
  </si>
  <si>
    <t>U42=246,"¥2,000",</t>
  </si>
  <si>
    <t>U42=171,"¥15,200",</t>
  </si>
  <si>
    <t>U42=172,"¥3,100",</t>
  </si>
  <si>
    <t>U42=173,"¥12,100",</t>
  </si>
  <si>
    <t>U42=174,"¥3,100",</t>
  </si>
  <si>
    <t>U42=175,"¥12,100",</t>
  </si>
  <si>
    <t>U42=176,"¥2,000",</t>
  </si>
  <si>
    <t>U42=271,"¥6,200",</t>
  </si>
  <si>
    <t>U42=272,"¥3,100",</t>
  </si>
  <si>
    <t>U42=273,"¥3,100",</t>
  </si>
  <si>
    <t>U42=274,"¥3,100",</t>
  </si>
  <si>
    <t>U42=275,"¥3,100",</t>
  </si>
  <si>
    <t>U42=276,"¥2,000",</t>
  </si>
  <si>
    <t>U42=151,"¥21,300",</t>
  </si>
  <si>
    <t>U42=152,"¥3,100",</t>
  </si>
  <si>
    <t>U42=153,"¥18,200",</t>
  </si>
  <si>
    <t>U42=154,"¥3,100",</t>
  </si>
  <si>
    <t>U42=155,"¥18,200",</t>
  </si>
  <si>
    <t>U42=156,"¥2,000",</t>
  </si>
  <si>
    <t>U42=167,"¥18,200",</t>
  </si>
  <si>
    <t>U42=267,"¥9,200",</t>
  </si>
  <si>
    <t>U42=291,"¥12,300",</t>
  </si>
  <si>
    <t>U42=292,"¥3,100",</t>
  </si>
  <si>
    <t>U42=293,"¥9,200",</t>
  </si>
  <si>
    <t>U42=294,"¥3,100",</t>
  </si>
  <si>
    <t>U42=295,"¥9,200",</t>
  </si>
  <si>
    <t>U42=296,"¥2,000",</t>
  </si>
  <si>
    <t>試作版完成</t>
    <rPh sb="0" eb="2">
      <t>シサク</t>
    </rPh>
    <rPh sb="2" eb="3">
      <t>バン</t>
    </rPh>
    <rPh sb="3" eb="5">
      <t>カンセイ</t>
    </rPh>
    <phoneticPr fontId="1"/>
  </si>
  <si>
    <t>一部修正「レイアウト」</t>
    <rPh sb="0" eb="2">
      <t>イチブ</t>
    </rPh>
    <rPh sb="2" eb="4">
      <t>シュウセイ</t>
    </rPh>
    <phoneticPr fontId="1"/>
  </si>
  <si>
    <t>建築配管</t>
    <phoneticPr fontId="1"/>
  </si>
  <si>
    <t>空気圧装置組立て</t>
    <phoneticPr fontId="1"/>
  </si>
  <si>
    <t>能開　次郎</t>
    <rPh sb="3" eb="5">
      <t>ジロウ</t>
    </rPh>
    <phoneticPr fontId="1"/>
  </si>
  <si>
    <t>能開　花子</t>
    <phoneticPr fontId="1"/>
  </si>
  <si>
    <r>
      <t>　　　※</t>
    </r>
    <r>
      <rPr>
        <u val="double"/>
        <sz val="11"/>
        <color theme="1"/>
        <rFont val="ＭＳ Ｐゴシック"/>
        <family val="3"/>
        <charset val="128"/>
        <scheme val="major"/>
      </rPr>
      <t>受検申請者が5名以上の企業・団体様で、受検手数料の一括振込をご希望の場合のみ</t>
    </r>
    <r>
      <rPr>
        <sz val="11"/>
        <color theme="1"/>
        <rFont val="ＭＳ Ｐゴシック"/>
        <family val="3"/>
        <charset val="128"/>
        <scheme val="major"/>
      </rPr>
      <t>ご記入ください。</t>
    </r>
    <rPh sb="4" eb="6">
      <t>ジュケン</t>
    </rPh>
    <rPh sb="6" eb="8">
      <t>シンセイ</t>
    </rPh>
    <rPh sb="8" eb="9">
      <t>シャ</t>
    </rPh>
    <rPh sb="11" eb="14">
      <t>メイイジョウ</t>
    </rPh>
    <rPh sb="15" eb="17">
      <t>キギョウ</t>
    </rPh>
    <rPh sb="18" eb="21">
      <t>ダンタイサマ</t>
    </rPh>
    <rPh sb="23" eb="25">
      <t>ジュケン</t>
    </rPh>
    <rPh sb="25" eb="28">
      <t>テスウリョウ</t>
    </rPh>
    <rPh sb="29" eb="31">
      <t>イッカツ</t>
    </rPh>
    <rPh sb="31" eb="33">
      <t>フリコミ</t>
    </rPh>
    <rPh sb="35" eb="37">
      <t>キボウ</t>
    </rPh>
    <rPh sb="38" eb="40">
      <t>バアイ</t>
    </rPh>
    <rPh sb="43" eb="45">
      <t>キニュウ</t>
    </rPh>
    <phoneticPr fontId="1"/>
  </si>
  <si>
    <r>
      <t>　　　※</t>
    </r>
    <r>
      <rPr>
        <u val="double"/>
        <sz val="11"/>
        <color theme="1"/>
        <rFont val="游ゴシック Medium"/>
        <family val="3"/>
        <charset val="128"/>
      </rPr>
      <t>受検申請者が5名以上の企業・団体様で、受検手数料の一括振込をご希望の場合のみ</t>
    </r>
    <r>
      <rPr>
        <sz val="11"/>
        <color theme="1"/>
        <rFont val="游ゴシック Medium"/>
        <family val="3"/>
        <charset val="128"/>
      </rPr>
      <t>ご記入ください。</t>
    </r>
    <rPh sb="4" eb="6">
      <t>ジュケン</t>
    </rPh>
    <rPh sb="6" eb="8">
      <t>シンセイ</t>
    </rPh>
    <rPh sb="8" eb="9">
      <t>シャ</t>
    </rPh>
    <rPh sb="11" eb="14">
      <t>メイイジョウ</t>
    </rPh>
    <rPh sb="15" eb="17">
      <t>キギョウ</t>
    </rPh>
    <rPh sb="18" eb="21">
      <t>ダンタイサマ</t>
    </rPh>
    <rPh sb="23" eb="25">
      <t>ジュケン</t>
    </rPh>
    <rPh sb="25" eb="28">
      <t>テスウリョウ</t>
    </rPh>
    <rPh sb="29" eb="31">
      <t>イッカツ</t>
    </rPh>
    <rPh sb="31" eb="33">
      <t>フリコミ</t>
    </rPh>
    <rPh sb="35" eb="37">
      <t>キボウ</t>
    </rPh>
    <rPh sb="38" eb="40">
      <t>バアイ</t>
    </rPh>
    <rPh sb="43" eb="45">
      <t>キニュウ</t>
    </rPh>
    <phoneticPr fontId="1"/>
  </si>
  <si>
    <t>03-6631-6052</t>
    <phoneticPr fontId="1"/>
  </si>
  <si>
    <t>03-6631-6055</t>
    <phoneticPr fontId="1"/>
  </si>
  <si>
    <t>ﾒｰﾙｱﾄﾞﾚｽ</t>
    <phoneticPr fontId="4"/>
  </si>
  <si>
    <t>nokai-taro@tokyo-vada.o123456789</t>
    <phoneticPr fontId="1"/>
  </si>
  <si>
    <t>102-8113</t>
    <phoneticPr fontId="1"/>
  </si>
  <si>
    <t>東京都千代田区飯田橋3-10-3　東京しごとセンター7階</t>
    <rPh sb="0" eb="3">
      <t>トウキョウト</t>
    </rPh>
    <rPh sb="3" eb="6">
      <t>チヨダ</t>
    </rPh>
    <rPh sb="6" eb="7">
      <t>ク</t>
    </rPh>
    <rPh sb="7" eb="10">
      <t>イイダバシ</t>
    </rPh>
    <rPh sb="17" eb="19">
      <t>トウキョウ</t>
    </rPh>
    <rPh sb="27" eb="28">
      <t>カイ</t>
    </rPh>
    <phoneticPr fontId="1"/>
  </si>
  <si>
    <t>技能検定 受検手数料(下記受検申請者分)について、事業所による一括振込を希望します。</t>
    <rPh sb="0" eb="2">
      <t>ギノウ</t>
    </rPh>
    <rPh sb="2" eb="4">
      <t>ケンテイ</t>
    </rPh>
    <rPh sb="4" eb="8">
      <t>コウキギノウケンテイ</t>
    </rPh>
    <rPh sb="5" eb="10">
      <t>ジュケンテスウリョウ</t>
    </rPh>
    <rPh sb="11" eb="13">
      <t>カキ</t>
    </rPh>
    <rPh sb="13" eb="15">
      <t>ジュケン</t>
    </rPh>
    <rPh sb="15" eb="17">
      <t>シンセイ</t>
    </rPh>
    <rPh sb="17" eb="18">
      <t>シャ</t>
    </rPh>
    <rPh sb="18" eb="19">
      <t>ブン</t>
    </rPh>
    <rPh sb="25" eb="28">
      <t>ジギョウショ</t>
    </rPh>
    <rPh sb="31" eb="33">
      <t>イッカツ</t>
    </rPh>
    <rPh sb="33" eb="35">
      <t>フリコミ</t>
    </rPh>
    <rPh sb="36" eb="38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</si>
</sst>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2" formatCode="_ &quot;¥&quot;* #,##0_ ;_ &quot;¥&quot;* \-#,##0_ ;_ &quot;¥&quot;* &quot;-&quot;_ ;_ @_ "/>
    <numFmt numFmtId="176" formatCode="0_);[Red]\(0\)"/>
    <numFmt numFmtId="177" formatCode="[$-411]ggge&quot;年&quot;m&quot;月&quot;d&quot;日&quot;;@"/>
    <numFmt numFmtId="178" formatCode="&quot;〒&quot;000\-0000"/>
    <numFmt numFmtId="179" formatCode="&quot;¥&quot;#,##0_);[Red]\(&quot;¥&quot;#,##0\)"/>
  </numFmts>
  <fonts count="3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b/>
      <sz val="12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u val="double"/>
      <sz val="11"/>
      <color theme="1"/>
      <name val="游ゴシック Mediu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u val="double"/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5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aj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5" fillId="0" borderId="32" xfId="1" applyFont="1" applyFill="1" applyBorder="1" applyAlignment="1">
      <alignment horizontal="center" vertical="center"/>
    </xf>
    <xf numFmtId="6" fontId="5" fillId="0" borderId="33" xfId="1" applyNumberFormat="1" applyFont="1" applyBorder="1" applyAlignment="1" applyProtection="1">
      <alignment horizontal="center" vertical="center"/>
      <protection locked="0"/>
    </xf>
    <xf numFmtId="0" fontId="5" fillId="0" borderId="23" xfId="1" applyFont="1" applyFill="1" applyBorder="1" applyAlignment="1">
      <alignment horizontal="center" vertical="center"/>
    </xf>
    <xf numFmtId="6" fontId="5" fillId="0" borderId="40" xfId="1" applyNumberFormat="1" applyFont="1" applyBorder="1" applyAlignment="1" applyProtection="1">
      <alignment horizontal="center" vertical="center"/>
      <protection locked="0"/>
    </xf>
    <xf numFmtId="0" fontId="5" fillId="0" borderId="30" xfId="1" applyFont="1" applyFill="1" applyBorder="1" applyAlignment="1">
      <alignment horizontal="center" vertical="center"/>
    </xf>
    <xf numFmtId="6" fontId="5" fillId="0" borderId="39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5" fillId="0" borderId="0" xfId="1" applyFont="1" applyBorder="1" applyAlignment="1" applyProtection="1">
      <alignment vertical="top"/>
      <protection locked="0"/>
    </xf>
    <xf numFmtId="0" fontId="5" fillId="0" borderId="41" xfId="1" applyFont="1" applyBorder="1" applyAlignment="1" applyProtection="1">
      <alignment vertical="top"/>
      <protection locked="0"/>
    </xf>
    <xf numFmtId="0" fontId="5" fillId="0" borderId="0" xfId="0" applyFont="1">
      <alignment vertical="center"/>
    </xf>
    <xf numFmtId="0" fontId="5" fillId="0" borderId="0" xfId="1" applyFont="1" applyBorder="1" applyAlignment="1">
      <alignment vertical="center" wrapText="1"/>
    </xf>
    <xf numFmtId="0" fontId="0" fillId="0" borderId="46" xfId="0" applyBorder="1">
      <alignment vertical="center"/>
    </xf>
    <xf numFmtId="0" fontId="14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29" xfId="0" applyBorder="1">
      <alignment vertical="center"/>
    </xf>
    <xf numFmtId="0" fontId="0" fillId="0" borderId="51" xfId="0" applyBorder="1">
      <alignment vertical="center"/>
    </xf>
    <xf numFmtId="0" fontId="0" fillId="0" borderId="28" xfId="0" applyBorder="1">
      <alignment vertical="center"/>
    </xf>
    <xf numFmtId="0" fontId="0" fillId="0" borderId="47" xfId="0" applyBorder="1">
      <alignment vertical="center"/>
    </xf>
    <xf numFmtId="0" fontId="0" fillId="0" borderId="51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9" fillId="0" borderId="22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0" fillId="0" borderId="0" xfId="0" applyFont="1" applyBorder="1">
      <alignment vertical="center"/>
    </xf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9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0" fillId="0" borderId="51" xfId="0" applyNumberFormat="1" applyFont="1" applyBorder="1" applyAlignment="1">
      <alignment horizontal="center" vertical="center"/>
    </xf>
    <xf numFmtId="0" fontId="20" fillId="0" borderId="51" xfId="0" applyFont="1" applyBorder="1">
      <alignment vertical="center"/>
    </xf>
    <xf numFmtId="0" fontId="20" fillId="0" borderId="29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47" xfId="0" applyFont="1" applyBorder="1">
      <alignment vertical="center"/>
    </xf>
    <xf numFmtId="0" fontId="26" fillId="0" borderId="0" xfId="0" applyFont="1">
      <alignment vertical="center"/>
    </xf>
    <xf numFmtId="0" fontId="26" fillId="0" borderId="46" xfId="0" applyFont="1" applyBorder="1">
      <alignment vertical="center"/>
    </xf>
    <xf numFmtId="0" fontId="26" fillId="0" borderId="0" xfId="1" applyFont="1" applyBorder="1" applyAlignment="1">
      <alignment vertical="center" wrapText="1"/>
    </xf>
    <xf numFmtId="0" fontId="2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9" fillId="0" borderId="0" xfId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center"/>
    </xf>
    <xf numFmtId="177" fontId="29" fillId="0" borderId="45" xfId="1" applyNumberFormat="1" applyFont="1" applyFill="1" applyBorder="1" applyAlignment="1">
      <alignment horizontal="right" vertical="center"/>
    </xf>
    <xf numFmtId="0" fontId="26" fillId="0" borderId="0" xfId="1" applyFont="1" applyBorder="1" applyAlignment="1" applyProtection="1">
      <alignment vertical="top"/>
      <protection locked="0"/>
    </xf>
    <xf numFmtId="0" fontId="26" fillId="0" borderId="41" xfId="1" applyFont="1" applyBorder="1" applyAlignment="1" applyProtection="1">
      <alignment vertical="top"/>
      <protection locked="0"/>
    </xf>
    <xf numFmtId="0" fontId="26" fillId="0" borderId="1" xfId="1" applyFont="1" applyBorder="1" applyAlignment="1">
      <alignment vertical="center"/>
    </xf>
    <xf numFmtId="0" fontId="26" fillId="0" borderId="32" xfId="1" applyFont="1" applyFill="1" applyBorder="1" applyAlignment="1">
      <alignment horizontal="center" vertical="center"/>
    </xf>
    <xf numFmtId="176" fontId="26" fillId="0" borderId="33" xfId="2" applyNumberFormat="1" applyFont="1" applyBorder="1" applyAlignment="1" applyProtection="1">
      <alignment horizontal="center" vertical="center"/>
      <protection locked="0"/>
    </xf>
    <xf numFmtId="0" fontId="26" fillId="0" borderId="23" xfId="1" applyFont="1" applyFill="1" applyBorder="1" applyAlignment="1">
      <alignment horizontal="center" vertical="center"/>
    </xf>
    <xf numFmtId="6" fontId="26" fillId="0" borderId="40" xfId="1" applyNumberFormat="1" applyFont="1" applyBorder="1" applyAlignment="1" applyProtection="1">
      <alignment horizontal="center" vertical="center"/>
      <protection locked="0"/>
    </xf>
    <xf numFmtId="0" fontId="26" fillId="0" borderId="30" xfId="1" applyFont="1" applyFill="1" applyBorder="1" applyAlignment="1">
      <alignment horizontal="center" vertical="center"/>
    </xf>
    <xf numFmtId="6" fontId="26" fillId="0" borderId="39" xfId="1" applyNumberFormat="1" applyFont="1" applyBorder="1" applyAlignment="1" applyProtection="1">
      <alignment horizontal="center" vertical="center"/>
      <protection locked="0"/>
    </xf>
    <xf numFmtId="6" fontId="26" fillId="0" borderId="33" xfId="1" applyNumberFormat="1" applyFont="1" applyBorder="1" applyAlignment="1" applyProtection="1">
      <alignment horizontal="center" vertical="center"/>
      <protection locked="0"/>
    </xf>
    <xf numFmtId="0" fontId="33" fillId="0" borderId="10" xfId="1" applyFont="1" applyBorder="1" applyAlignment="1">
      <alignment horizontal="center" vertical="center"/>
    </xf>
    <xf numFmtId="42" fontId="0" fillId="0" borderId="10" xfId="0" applyNumberFormat="1" applyBorder="1" applyAlignment="1">
      <alignment horizontal="center" vertical="center"/>
    </xf>
    <xf numFmtId="42" fontId="0" fillId="0" borderId="51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51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20" fillId="0" borderId="46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4" fillId="2" borderId="10" xfId="0" applyFont="1" applyFill="1" applyBorder="1" applyAlignment="1">
      <alignment horizontal="center" vertical="center"/>
    </xf>
    <xf numFmtId="179" fontId="24" fillId="2" borderId="10" xfId="0" applyNumberFormat="1" applyFont="1" applyFill="1" applyBorder="1" applyAlignment="1">
      <alignment horizontal="center" vertical="center"/>
    </xf>
    <xf numFmtId="0" fontId="24" fillId="2" borderId="10" xfId="0" applyFont="1" applyFill="1" applyBorder="1">
      <alignment vertical="center"/>
    </xf>
    <xf numFmtId="0" fontId="0" fillId="2" borderId="0" xfId="0" applyFill="1">
      <alignment vertical="center"/>
    </xf>
    <xf numFmtId="0" fontId="24" fillId="2" borderId="10" xfId="0" applyNumberFormat="1" applyFont="1" applyFill="1" applyBorder="1">
      <alignment vertical="center"/>
    </xf>
    <xf numFmtId="179" fontId="24" fillId="2" borderId="38" xfId="0" applyNumberFormat="1" applyFont="1" applyFill="1" applyBorder="1">
      <alignment vertical="center"/>
    </xf>
    <xf numFmtId="179" fontId="20" fillId="0" borderId="49" xfId="0" applyNumberFormat="1" applyFont="1" applyBorder="1">
      <alignment vertical="center"/>
    </xf>
    <xf numFmtId="179" fontId="20" fillId="0" borderId="0" xfId="0" applyNumberFormat="1" applyFont="1">
      <alignment vertical="center"/>
    </xf>
    <xf numFmtId="179" fontId="20" fillId="0" borderId="38" xfId="0" applyNumberFormat="1" applyFont="1" applyBorder="1">
      <alignment vertical="center"/>
    </xf>
    <xf numFmtId="179" fontId="20" fillId="0" borderId="52" xfId="0" applyNumberFormat="1" applyFont="1" applyBorder="1">
      <alignment vertical="center"/>
    </xf>
    <xf numFmtId="0" fontId="23" fillId="0" borderId="5" xfId="0" applyFont="1" applyBorder="1" applyAlignment="1">
      <alignment horizontal="center" vertical="center" shrinkToFit="1"/>
    </xf>
    <xf numFmtId="0" fontId="26" fillId="3" borderId="28" xfId="1" applyFont="1" applyFill="1" applyBorder="1" applyAlignment="1" applyProtection="1">
      <alignment horizontal="center" vertical="center" shrinkToFit="1"/>
      <protection locked="0"/>
    </xf>
    <xf numFmtId="0" fontId="26" fillId="3" borderId="28" xfId="1" applyFont="1" applyFill="1" applyBorder="1" applyAlignment="1" applyProtection="1">
      <alignment horizontal="center" vertical="center"/>
      <protection locked="0"/>
    </xf>
    <xf numFmtId="0" fontId="26" fillId="3" borderId="21" xfId="1" applyFont="1" applyFill="1" applyBorder="1" applyAlignment="1" applyProtection="1">
      <alignment horizontal="center" vertical="center" shrinkToFit="1"/>
      <protection locked="0"/>
    </xf>
    <xf numFmtId="0" fontId="26" fillId="3" borderId="21" xfId="1" applyFont="1" applyFill="1" applyBorder="1" applyAlignment="1" applyProtection="1">
      <alignment horizontal="center" vertical="center"/>
      <protection locked="0"/>
    </xf>
    <xf numFmtId="0" fontId="26" fillId="3" borderId="10" xfId="1" applyFont="1" applyFill="1" applyBorder="1" applyAlignment="1" applyProtection="1">
      <alignment horizontal="center" vertical="center"/>
      <protection locked="0"/>
    </xf>
    <xf numFmtId="0" fontId="5" fillId="3" borderId="28" xfId="1" applyFont="1" applyFill="1" applyBorder="1" applyAlignment="1" applyProtection="1">
      <alignment horizontal="center" vertical="center" shrinkToFit="1"/>
      <protection locked="0"/>
    </xf>
    <xf numFmtId="0" fontId="5" fillId="3" borderId="14" xfId="1" applyFont="1" applyFill="1" applyBorder="1" applyAlignment="1" applyProtection="1">
      <alignment horizontal="center" vertical="center" shrinkToFit="1"/>
      <protection locked="0"/>
    </xf>
    <xf numFmtId="0" fontId="5" fillId="3" borderId="28" xfId="1" applyFont="1" applyFill="1" applyBorder="1" applyAlignment="1" applyProtection="1">
      <alignment horizontal="center" vertical="center"/>
      <protection locked="0"/>
    </xf>
    <xf numFmtId="0" fontId="5" fillId="3" borderId="21" xfId="1" applyFont="1" applyFill="1" applyBorder="1" applyAlignment="1" applyProtection="1">
      <alignment horizontal="center" vertical="center" shrinkToFit="1"/>
      <protection locked="0"/>
    </xf>
    <xf numFmtId="0" fontId="5" fillId="3" borderId="20" xfId="1" applyFont="1" applyFill="1" applyBorder="1" applyAlignment="1" applyProtection="1">
      <alignment horizontal="center" vertical="center" shrinkToFit="1"/>
      <protection locked="0"/>
    </xf>
    <xf numFmtId="0" fontId="5" fillId="3" borderId="21" xfId="1" applyFont="1" applyFill="1" applyBorder="1" applyAlignment="1" applyProtection="1">
      <alignment horizontal="center" vertical="center"/>
      <protection locked="0"/>
    </xf>
    <xf numFmtId="0" fontId="5" fillId="3" borderId="10" xfId="1" applyFont="1" applyFill="1" applyBorder="1" applyAlignment="1" applyProtection="1">
      <alignment horizontal="center" vertical="center"/>
      <protection locked="0"/>
    </xf>
    <xf numFmtId="0" fontId="5" fillId="3" borderId="29" xfId="1" applyFont="1" applyFill="1" applyBorder="1" applyAlignment="1" applyProtection="1">
      <alignment horizontal="center" vertical="center" shrinkToFit="1"/>
      <protection locked="0"/>
    </xf>
    <xf numFmtId="0" fontId="5" fillId="3" borderId="25" xfId="1" applyFont="1" applyFill="1" applyBorder="1" applyAlignment="1" applyProtection="1">
      <alignment horizontal="center" vertical="center" shrinkToFit="1"/>
      <protection locked="0"/>
    </xf>
    <xf numFmtId="0" fontId="5" fillId="3" borderId="29" xfId="1" applyFont="1" applyFill="1" applyBorder="1" applyAlignment="1" applyProtection="1">
      <alignment horizontal="center" vertical="center"/>
      <protection locked="0"/>
    </xf>
    <xf numFmtId="0" fontId="5" fillId="3" borderId="44" xfId="1" applyFont="1" applyFill="1" applyBorder="1" applyAlignment="1" applyProtection="1">
      <alignment horizontal="center" vertical="center"/>
      <protection locked="0"/>
    </xf>
    <xf numFmtId="0" fontId="5" fillId="3" borderId="22" xfId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 shrinkToFi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6" fontId="5" fillId="0" borderId="0" xfId="1" applyNumberFormat="1" applyFont="1" applyFill="1" applyBorder="1" applyAlignment="1" applyProtection="1">
      <alignment horizontal="center" vertical="center"/>
      <protection locked="0"/>
    </xf>
    <xf numFmtId="179" fontId="0" fillId="0" borderId="38" xfId="0" applyNumberFormat="1" applyBorder="1">
      <alignment vertical="center"/>
    </xf>
    <xf numFmtId="179" fontId="0" fillId="0" borderId="52" xfId="0" applyNumberFormat="1" applyBorder="1">
      <alignment vertical="center"/>
    </xf>
    <xf numFmtId="179" fontId="0" fillId="0" borderId="49" xfId="0" applyNumberFormat="1" applyBorder="1">
      <alignment vertical="center"/>
    </xf>
    <xf numFmtId="179" fontId="0" fillId="0" borderId="0" xfId="0" applyNumberFormat="1">
      <alignment vertical="center"/>
    </xf>
    <xf numFmtId="42" fontId="0" fillId="0" borderId="38" xfId="0" applyNumberFormat="1" applyFont="1" applyBorder="1">
      <alignment vertical="center"/>
    </xf>
    <xf numFmtId="179" fontId="5" fillId="0" borderId="33" xfId="2" applyNumberFormat="1" applyFont="1" applyBorder="1" applyAlignment="1" applyProtection="1">
      <alignment horizontal="center" vertical="center"/>
      <protection locked="0"/>
    </xf>
    <xf numFmtId="0" fontId="35" fillId="0" borderId="0" xfId="0" applyFont="1" applyFill="1" applyAlignment="1">
      <alignment horizontal="center" vertical="center"/>
    </xf>
    <xf numFmtId="14" fontId="35" fillId="0" borderId="0" xfId="0" applyNumberFormat="1" applyFont="1" applyFill="1" applyAlignment="1">
      <alignment vertical="center" shrinkToFit="1"/>
    </xf>
    <xf numFmtId="0" fontId="35" fillId="0" borderId="0" xfId="0" applyFont="1" applyFill="1" applyAlignment="1">
      <alignment vertical="center" shrinkToFit="1"/>
    </xf>
    <xf numFmtId="0" fontId="36" fillId="0" borderId="0" xfId="0" applyFont="1" applyFill="1">
      <alignment vertical="center"/>
    </xf>
    <xf numFmtId="0" fontId="36" fillId="0" borderId="0" xfId="0" applyFont="1" applyFill="1" applyAlignment="1">
      <alignment vertical="center" shrinkToFit="1"/>
    </xf>
    <xf numFmtId="0" fontId="0" fillId="4" borderId="0" xfId="0" applyFill="1">
      <alignment vertical="center"/>
    </xf>
    <xf numFmtId="0" fontId="35" fillId="0" borderId="0" xfId="0" applyFont="1" applyFill="1">
      <alignment vertical="center"/>
    </xf>
    <xf numFmtId="176" fontId="35" fillId="0" borderId="0" xfId="0" applyNumberFormat="1" applyFont="1" applyFill="1" applyBorder="1" applyAlignment="1">
      <alignment horizontal="right" vertical="center"/>
    </xf>
    <xf numFmtId="0" fontId="35" fillId="0" borderId="0" xfId="0" applyFont="1" applyFill="1" applyBorder="1">
      <alignment vertical="center"/>
    </xf>
    <xf numFmtId="176" fontId="35" fillId="0" borderId="0" xfId="0" applyNumberFormat="1" applyFont="1" applyFill="1" applyBorder="1">
      <alignment vertical="center"/>
    </xf>
    <xf numFmtId="0" fontId="35" fillId="0" borderId="0" xfId="2" applyNumberFormat="1" applyFont="1" applyFill="1" applyBorder="1" applyAlignment="1">
      <alignment horizontal="center" vertical="center"/>
    </xf>
    <xf numFmtId="0" fontId="29" fillId="0" borderId="62" xfId="1" applyFont="1" applyBorder="1" applyAlignment="1">
      <alignment horizontal="left" vertical="center"/>
    </xf>
    <xf numFmtId="0" fontId="37" fillId="0" borderId="10" xfId="1" applyFont="1" applyBorder="1" applyAlignment="1">
      <alignment horizontal="center" vertical="center"/>
    </xf>
    <xf numFmtId="0" fontId="33" fillId="0" borderId="63" xfId="1" applyFont="1" applyBorder="1" applyAlignment="1">
      <alignment horizontal="center" vertical="center"/>
    </xf>
    <xf numFmtId="0" fontId="26" fillId="0" borderId="39" xfId="1" applyFont="1" applyFill="1" applyBorder="1" applyAlignment="1" applyProtection="1">
      <alignment vertical="center" shrinkToFit="1"/>
      <protection locked="0"/>
    </xf>
    <xf numFmtId="0" fontId="3" fillId="0" borderId="0" xfId="1" applyFont="1" applyBorder="1" applyAlignment="1">
      <alignment vertical="center"/>
    </xf>
    <xf numFmtId="177" fontId="6" fillId="0" borderId="64" xfId="1" applyNumberFormat="1" applyFont="1" applyFill="1" applyBorder="1" applyAlignment="1">
      <alignment horizontal="right" vertical="center"/>
    </xf>
    <xf numFmtId="0" fontId="33" fillId="0" borderId="44" xfId="1" applyFont="1" applyBorder="1" applyAlignment="1">
      <alignment horizontal="center" vertical="center"/>
    </xf>
    <xf numFmtId="0" fontId="37" fillId="0" borderId="44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177" fontId="29" fillId="0" borderId="4" xfId="1" applyNumberFormat="1" applyFont="1" applyFill="1" applyBorder="1" applyAlignment="1">
      <alignment horizontal="left" vertical="center"/>
    </xf>
    <xf numFmtId="177" fontId="29" fillId="0" borderId="33" xfId="1" applyNumberFormat="1" applyFont="1" applyFill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 shrinkToFit="1"/>
    </xf>
    <xf numFmtId="0" fontId="26" fillId="3" borderId="26" xfId="1" applyFont="1" applyFill="1" applyBorder="1" applyAlignment="1" applyProtection="1">
      <alignment horizontal="center" vertical="center"/>
      <protection locked="0"/>
    </xf>
    <xf numFmtId="0" fontId="26" fillId="3" borderId="25" xfId="1" applyFont="1" applyFill="1" applyBorder="1" applyAlignment="1" applyProtection="1">
      <alignment horizontal="center" vertical="center"/>
      <protection locked="0"/>
    </xf>
    <xf numFmtId="0" fontId="26" fillId="3" borderId="27" xfId="1" applyFont="1" applyFill="1" applyBorder="1" applyAlignment="1" applyProtection="1">
      <alignment horizontal="center" vertical="center"/>
      <protection locked="0"/>
    </xf>
    <xf numFmtId="0" fontId="32" fillId="0" borderId="3" xfId="1" applyFont="1" applyFill="1" applyBorder="1" applyAlignment="1">
      <alignment horizontal="center" vertical="center"/>
    </xf>
    <xf numFmtId="0" fontId="32" fillId="0" borderId="2" xfId="1" applyFont="1" applyFill="1" applyBorder="1" applyAlignment="1">
      <alignment horizontal="center" vertical="center"/>
    </xf>
    <xf numFmtId="0" fontId="32" fillId="0" borderId="54" xfId="1" applyFont="1" applyFill="1" applyBorder="1" applyAlignment="1">
      <alignment horizontal="center" vertical="center"/>
    </xf>
    <xf numFmtId="0" fontId="32" fillId="0" borderId="53" xfId="1" applyFont="1" applyFill="1" applyBorder="1" applyAlignment="1">
      <alignment horizontal="center" vertical="center"/>
    </xf>
    <xf numFmtId="0" fontId="38" fillId="3" borderId="25" xfId="3" applyFill="1" applyBorder="1" applyAlignment="1" applyProtection="1">
      <alignment horizontal="center" vertical="center" shrinkToFit="1"/>
      <protection locked="0"/>
    </xf>
    <xf numFmtId="0" fontId="26" fillId="3" borderId="26" xfId="1" applyFont="1" applyFill="1" applyBorder="1" applyAlignment="1" applyProtection="1">
      <alignment horizontal="center" vertical="center" shrinkToFit="1"/>
      <protection locked="0"/>
    </xf>
    <xf numFmtId="0" fontId="26" fillId="3" borderId="39" xfId="1" applyFont="1" applyFill="1" applyBorder="1" applyAlignment="1" applyProtection="1">
      <alignment horizontal="center" vertical="center" shrinkToFit="1"/>
      <protection locked="0"/>
    </xf>
    <xf numFmtId="0" fontId="33" fillId="0" borderId="32" xfId="1" applyFont="1" applyBorder="1" applyAlignment="1">
      <alignment horizontal="center" vertical="center"/>
    </xf>
    <xf numFmtId="0" fontId="33" fillId="0" borderId="28" xfId="1" applyFont="1" applyBorder="1" applyAlignment="1">
      <alignment horizontal="center" vertical="center"/>
    </xf>
    <xf numFmtId="0" fontId="31" fillId="3" borderId="28" xfId="1" applyFont="1" applyFill="1" applyBorder="1" applyAlignment="1" applyProtection="1">
      <alignment horizontal="center" vertical="center"/>
      <protection locked="0"/>
    </xf>
    <xf numFmtId="0" fontId="31" fillId="3" borderId="21" xfId="1" applyFont="1" applyFill="1" applyBorder="1" applyAlignment="1" applyProtection="1">
      <alignment horizontal="center" vertical="center"/>
      <protection locked="0"/>
    </xf>
    <xf numFmtId="0" fontId="31" fillId="3" borderId="43" xfId="1" applyFont="1" applyFill="1" applyBorder="1" applyAlignment="1" applyProtection="1">
      <alignment horizontal="center" vertical="center"/>
      <protection locked="0"/>
    </xf>
    <xf numFmtId="0" fontId="33" fillId="0" borderId="42" xfId="1" applyFont="1" applyBorder="1" applyAlignment="1">
      <alignment horizontal="center" vertical="center"/>
    </xf>
    <xf numFmtId="0" fontId="33" fillId="0" borderId="19" xfId="1" applyFont="1" applyBorder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3" fillId="0" borderId="6" xfId="1" applyFont="1" applyBorder="1" applyAlignment="1">
      <alignment horizontal="center" vertical="center"/>
    </xf>
    <xf numFmtId="0" fontId="29" fillId="3" borderId="7" xfId="1" applyFont="1" applyFill="1" applyBorder="1" applyAlignment="1" applyProtection="1">
      <alignment vertical="center"/>
      <protection locked="0"/>
    </xf>
    <xf numFmtId="0" fontId="29" fillId="3" borderId="5" xfId="1" applyFont="1" applyFill="1" applyBorder="1" applyAlignment="1" applyProtection="1">
      <alignment vertical="center"/>
      <protection locked="0"/>
    </xf>
    <xf numFmtId="0" fontId="29" fillId="3" borderId="35" xfId="1" applyFont="1" applyFill="1" applyBorder="1" applyAlignment="1" applyProtection="1">
      <alignment vertical="center"/>
      <protection locked="0"/>
    </xf>
    <xf numFmtId="0" fontId="33" fillId="0" borderId="36" xfId="1" applyFont="1" applyBorder="1" applyAlignment="1">
      <alignment horizontal="center" vertical="center" shrinkToFit="1"/>
    </xf>
    <xf numFmtId="0" fontId="33" fillId="0" borderId="12" xfId="1" applyFont="1" applyBorder="1" applyAlignment="1">
      <alignment horizontal="center" vertical="center" shrinkToFit="1"/>
    </xf>
    <xf numFmtId="0" fontId="26" fillId="3" borderId="20" xfId="1" applyFont="1" applyFill="1" applyBorder="1" applyAlignment="1" applyProtection="1">
      <alignment horizontal="center" vertical="center"/>
      <protection locked="0"/>
    </xf>
    <xf numFmtId="0" fontId="26" fillId="3" borderId="11" xfId="1" applyFont="1" applyFill="1" applyBorder="1" applyAlignment="1" applyProtection="1">
      <alignment horizontal="center" vertical="center"/>
      <protection locked="0"/>
    </xf>
    <xf numFmtId="0" fontId="26" fillId="3" borderId="12" xfId="1" applyFont="1" applyFill="1" applyBorder="1" applyAlignment="1" applyProtection="1">
      <alignment horizontal="center" vertical="center"/>
      <protection locked="0"/>
    </xf>
    <xf numFmtId="0" fontId="26" fillId="3" borderId="8" xfId="1" applyFont="1" applyFill="1" applyBorder="1" applyAlignment="1" applyProtection="1">
      <alignment horizontal="center" vertical="center"/>
      <protection locked="0"/>
    </xf>
    <xf numFmtId="0" fontId="26" fillId="3" borderId="9" xfId="1" applyFont="1" applyFill="1" applyBorder="1" applyAlignment="1" applyProtection="1">
      <alignment horizontal="center" vertical="center"/>
      <protection locked="0"/>
    </xf>
    <xf numFmtId="0" fontId="26" fillId="3" borderId="37" xfId="1" applyFont="1" applyFill="1" applyBorder="1" applyAlignment="1" applyProtection="1">
      <alignment horizontal="center" vertical="center"/>
      <protection locked="0"/>
    </xf>
    <xf numFmtId="178" fontId="26" fillId="3" borderId="8" xfId="1" applyNumberFormat="1" applyFont="1" applyFill="1" applyBorder="1" applyAlignment="1" applyProtection="1">
      <alignment horizontal="center" vertical="center"/>
      <protection locked="0"/>
    </xf>
    <xf numFmtId="178" fontId="26" fillId="3" borderId="9" xfId="1" applyNumberFormat="1" applyFont="1" applyFill="1" applyBorder="1" applyAlignment="1" applyProtection="1">
      <alignment horizontal="center" vertical="center"/>
      <protection locked="0"/>
    </xf>
    <xf numFmtId="0" fontId="33" fillId="0" borderId="20" xfId="1" applyFont="1" applyBorder="1" applyAlignment="1">
      <alignment horizontal="center" vertical="center"/>
    </xf>
    <xf numFmtId="0" fontId="33" fillId="0" borderId="12" xfId="1" applyFont="1" applyBorder="1" applyAlignment="1">
      <alignment horizontal="center" vertical="center"/>
    </xf>
    <xf numFmtId="0" fontId="32" fillId="0" borderId="31" xfId="1" applyFont="1" applyFill="1" applyBorder="1" applyAlignment="1">
      <alignment horizontal="center" vertical="center"/>
    </xf>
    <xf numFmtId="0" fontId="32" fillId="0" borderId="17" xfId="1" applyFont="1" applyFill="1" applyBorder="1" applyAlignment="1">
      <alignment horizontal="center" vertical="center"/>
    </xf>
    <xf numFmtId="0" fontId="32" fillId="0" borderId="16" xfId="1" applyFont="1" applyFill="1" applyBorder="1" applyAlignment="1">
      <alignment horizontal="center" vertical="center"/>
    </xf>
    <xf numFmtId="0" fontId="32" fillId="0" borderId="24" xfId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center" vertical="center"/>
    </xf>
    <xf numFmtId="0" fontId="32" fillId="0" borderId="18" xfId="1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32" fillId="0" borderId="19" xfId="1" applyFont="1" applyFill="1" applyBorder="1" applyAlignment="1">
      <alignment horizontal="center" vertical="center"/>
    </xf>
    <xf numFmtId="0" fontId="32" fillId="0" borderId="16" xfId="1" applyFont="1" applyFill="1" applyBorder="1" applyAlignment="1">
      <alignment horizontal="center" vertical="center" wrapText="1"/>
    </xf>
    <xf numFmtId="0" fontId="32" fillId="0" borderId="29" xfId="1" applyFont="1" applyFill="1" applyBorder="1" applyAlignment="1">
      <alignment horizontal="center" vertical="center" wrapText="1"/>
    </xf>
    <xf numFmtId="0" fontId="32" fillId="0" borderId="24" xfId="1" applyFont="1" applyFill="1" applyBorder="1" applyAlignment="1">
      <alignment horizontal="center" vertical="center" wrapText="1"/>
    </xf>
    <xf numFmtId="0" fontId="26" fillId="3" borderId="7" xfId="1" applyFont="1" applyFill="1" applyBorder="1" applyAlignment="1" applyProtection="1">
      <alignment horizontal="center" vertical="center" shrinkToFit="1"/>
      <protection locked="0"/>
    </xf>
    <xf numFmtId="0" fontId="26" fillId="3" borderId="5" xfId="1" applyFont="1" applyFill="1" applyBorder="1" applyAlignment="1" applyProtection="1">
      <alignment horizontal="center" vertical="center" shrinkToFit="1"/>
      <protection locked="0"/>
    </xf>
    <xf numFmtId="0" fontId="26" fillId="3" borderId="6" xfId="1" applyFont="1" applyFill="1" applyBorder="1" applyAlignment="1" applyProtection="1">
      <alignment horizontal="center" vertical="center" shrinkToFit="1"/>
      <protection locked="0"/>
    </xf>
    <xf numFmtId="0" fontId="26" fillId="3" borderId="14" xfId="1" applyFont="1" applyFill="1" applyBorder="1" applyAlignment="1" applyProtection="1">
      <alignment horizontal="center" vertical="center" shrinkToFit="1"/>
      <protection locked="0"/>
    </xf>
    <xf numFmtId="0" fontId="26" fillId="3" borderId="4" xfId="1" applyFont="1" applyFill="1" applyBorder="1" applyAlignment="1" applyProtection="1">
      <alignment horizontal="center" vertical="center" shrinkToFit="1"/>
      <protection locked="0"/>
    </xf>
    <xf numFmtId="0" fontId="26" fillId="3" borderId="15" xfId="1" applyFont="1" applyFill="1" applyBorder="1" applyAlignment="1" applyProtection="1">
      <alignment horizontal="center" vertical="center" shrinkToFit="1"/>
      <protection locked="0"/>
    </xf>
    <xf numFmtId="0" fontId="26" fillId="3" borderId="14" xfId="1" applyFont="1" applyFill="1" applyBorder="1" applyAlignment="1" applyProtection="1">
      <alignment horizontal="center" vertical="center"/>
      <protection locked="0"/>
    </xf>
    <xf numFmtId="0" fontId="26" fillId="3" borderId="15" xfId="1" applyFont="1" applyFill="1" applyBorder="1" applyAlignment="1" applyProtection="1">
      <alignment horizontal="center" vertical="center"/>
      <protection locked="0"/>
    </xf>
    <xf numFmtId="0" fontId="20" fillId="0" borderId="3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32" fillId="0" borderId="13" xfId="1" applyFont="1" applyFill="1" applyBorder="1" applyAlignment="1">
      <alignment horizontal="center" vertical="center" wrapText="1"/>
    </xf>
    <xf numFmtId="0" fontId="32" fillId="0" borderId="4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 shrinkToFit="1"/>
      <protection locked="0"/>
    </xf>
    <xf numFmtId="0" fontId="5" fillId="3" borderId="25" xfId="1" applyFont="1" applyFill="1" applyBorder="1" applyAlignment="1" applyProtection="1">
      <alignment horizontal="center" vertical="center" shrinkToFit="1"/>
      <protection locked="0"/>
    </xf>
    <xf numFmtId="0" fontId="5" fillId="3" borderId="26" xfId="1" applyFont="1" applyFill="1" applyBorder="1" applyAlignment="1" applyProtection="1">
      <alignment horizontal="center" vertical="center" shrinkToFit="1"/>
      <protection locked="0"/>
    </xf>
    <xf numFmtId="0" fontId="5" fillId="3" borderId="27" xfId="1" applyFont="1" applyFill="1" applyBorder="1" applyAlignment="1" applyProtection="1">
      <alignment horizontal="center" vertical="center" shrinkToFit="1"/>
      <protection locked="0"/>
    </xf>
    <xf numFmtId="0" fontId="0" fillId="0" borderId="4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4" xfId="1" applyFont="1" applyFill="1" applyBorder="1" applyAlignment="1" applyProtection="1">
      <alignment horizontal="center" vertical="center" shrinkToFit="1"/>
      <protection locked="0"/>
    </xf>
    <xf numFmtId="0" fontId="5" fillId="3" borderId="4" xfId="1" applyFont="1" applyFill="1" applyBorder="1" applyAlignment="1" applyProtection="1">
      <alignment horizontal="center" vertical="center" shrinkToFit="1"/>
      <protection locked="0"/>
    </xf>
    <xf numFmtId="0" fontId="5" fillId="3" borderId="15" xfId="1" applyFont="1" applyFill="1" applyBorder="1" applyAlignment="1" applyProtection="1">
      <alignment horizontal="center" vertical="center" shrinkToFit="1"/>
      <protection locked="0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20" xfId="1" applyFont="1" applyFill="1" applyBorder="1" applyAlignment="1" applyProtection="1">
      <alignment horizontal="center" vertical="center" shrinkToFit="1"/>
      <protection locked="0"/>
    </xf>
    <xf numFmtId="0" fontId="5" fillId="3" borderId="11" xfId="1" applyFont="1" applyFill="1" applyBorder="1" applyAlignment="1" applyProtection="1">
      <alignment horizontal="center" vertical="center" shrinkToFit="1"/>
      <protection locked="0"/>
    </xf>
    <xf numFmtId="0" fontId="5" fillId="3" borderId="12" xfId="1" applyFont="1" applyFill="1" applyBorder="1" applyAlignment="1" applyProtection="1">
      <alignment horizontal="center" vertical="center" shrinkToFit="1"/>
      <protection locked="0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41" xfId="1" applyFont="1" applyFill="1" applyBorder="1" applyAlignment="1">
      <alignment horizontal="center" vertical="center" wrapText="1"/>
    </xf>
    <xf numFmtId="0" fontId="38" fillId="3" borderId="39" xfId="3" applyFill="1" applyBorder="1" applyAlignment="1" applyProtection="1">
      <alignment horizontal="center" vertical="center" shrinkToFit="1"/>
      <protection locked="0"/>
    </xf>
    <xf numFmtId="0" fontId="19" fillId="0" borderId="32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8" fillId="3" borderId="28" xfId="1" applyFont="1" applyFill="1" applyBorder="1" applyAlignment="1" applyProtection="1">
      <alignment horizontal="center" vertical="center"/>
      <protection locked="0"/>
    </xf>
    <xf numFmtId="0" fontId="18" fillId="3" borderId="47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vertical="center"/>
      <protection locked="0"/>
    </xf>
    <xf numFmtId="0" fontId="6" fillId="3" borderId="5" xfId="1" applyFont="1" applyFill="1" applyBorder="1" applyAlignment="1" applyProtection="1">
      <alignment vertical="center"/>
      <protection locked="0"/>
    </xf>
    <xf numFmtId="0" fontId="6" fillId="3" borderId="35" xfId="1" applyFont="1" applyFill="1" applyBorder="1" applyAlignment="1" applyProtection="1">
      <alignment vertical="center"/>
      <protection locked="0"/>
    </xf>
    <xf numFmtId="0" fontId="19" fillId="0" borderId="36" xfId="1" applyFont="1" applyBorder="1" applyAlignment="1">
      <alignment horizontal="center" vertical="center" shrinkToFit="1"/>
    </xf>
    <xf numFmtId="0" fontId="19" fillId="0" borderId="12" xfId="1" applyFont="1" applyBorder="1" applyAlignment="1">
      <alignment horizontal="center" vertical="center" shrinkToFit="1"/>
    </xf>
    <xf numFmtId="0" fontId="5" fillId="3" borderId="20" xfId="1" applyFont="1" applyFill="1" applyBorder="1" applyAlignment="1" applyProtection="1">
      <alignment horizontal="center" vertical="center"/>
      <protection locked="0"/>
    </xf>
    <xf numFmtId="0" fontId="5" fillId="3" borderId="11" xfId="1" applyFont="1" applyFill="1" applyBorder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horizontal="center" vertical="center"/>
      <protection locked="0"/>
    </xf>
    <xf numFmtId="0" fontId="5" fillId="3" borderId="8" xfId="1" applyFont="1" applyFill="1" applyBorder="1" applyAlignment="1" applyProtection="1">
      <alignment horizontal="center" vertical="center"/>
      <protection locked="0"/>
    </xf>
    <xf numFmtId="0" fontId="5" fillId="3" borderId="9" xfId="1" applyFont="1" applyFill="1" applyBorder="1" applyAlignment="1" applyProtection="1">
      <alignment horizontal="center" vertical="center"/>
      <protection locked="0"/>
    </xf>
    <xf numFmtId="0" fontId="5" fillId="3" borderId="37" xfId="1" applyFont="1" applyFill="1" applyBorder="1" applyAlignment="1" applyProtection="1">
      <alignment horizontal="center" vertical="center"/>
      <protection locked="0"/>
    </xf>
    <xf numFmtId="0" fontId="19" fillId="0" borderId="42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178" fontId="5" fillId="3" borderId="8" xfId="1" applyNumberFormat="1" applyFont="1" applyFill="1" applyBorder="1" applyAlignment="1" applyProtection="1">
      <alignment horizontal="center" vertical="top"/>
      <protection locked="0"/>
    </xf>
    <xf numFmtId="178" fontId="5" fillId="3" borderId="9" xfId="1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/>
    </xf>
    <xf numFmtId="177" fontId="6" fillId="0" borderId="1" xfId="1" applyNumberFormat="1" applyFont="1" applyFill="1" applyBorder="1" applyAlignment="1">
      <alignment horizontal="left" vertical="center"/>
    </xf>
    <xf numFmtId="177" fontId="6" fillId="0" borderId="13" xfId="1" applyNumberFormat="1" applyFont="1" applyFill="1" applyBorder="1" applyAlignment="1">
      <alignment horizontal="left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99"/>
      <color rgb="FFFFCCFF"/>
      <color rgb="FFCCFFFF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116540</xdr:colOff>
      <xdr:row>0</xdr:row>
      <xdr:rowOff>726141</xdr:rowOff>
    </xdr:from>
    <xdr:to>
      <xdr:col>2</xdr:col>
      <xdr:colOff>277906</xdr:colOff>
      <xdr:row>1</xdr:row>
      <xdr:rowOff>358589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4E509F-F310-443F-B636-E43125A228B2}"/>
            </a:ext>
          </a:extLst>
        </xdr:cNvPr>
        <xdr:cNvSpPr txBox="1"/>
      </xdr:nvSpPr>
      <xdr:spPr>
        <a:xfrm>
          <a:off x="726140" y="726141"/>
          <a:ext cx="770966" cy="394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入力用</a:t>
          </a:r>
        </a:p>
      </xdr:txBody>
    </xdr:sp>
    <xdr:clientData/>
  </xdr:twoCellAnchor>
  <xdr:twoCellAnchor>
    <xdr:from>
      <xdr:col>1</xdr:col>
      <xdr:colOff>116541</xdr:colOff>
      <xdr:row>0</xdr:row>
      <xdr:rowOff>98612</xdr:rowOff>
    </xdr:from>
    <xdr:to>
      <xdr:col>10</xdr:col>
      <xdr:colOff>537882</xdr:colOff>
      <xdr:row>0</xdr:row>
      <xdr:rowOff>672353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9EEAEB-F22C-4115-9E37-894AC506D3C3}"/>
            </a:ext>
          </a:extLst>
        </xdr:cNvPr>
        <xdr:cNvSpPr txBox="1"/>
      </xdr:nvSpPr>
      <xdr:spPr>
        <a:xfrm>
          <a:off x="726141" y="98612"/>
          <a:ext cx="6239435" cy="57374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 u="sng">
              <a:solidFill>
                <a:srgbClr val="FF0000"/>
              </a:solidFill>
            </a:rPr>
            <a:t>黄色の色付部分のみ</a:t>
          </a:r>
          <a:r>
            <a:rPr kumimoji="1" lang="ja-JP" altLang="en-US" sz="1050" b="1">
              <a:solidFill>
                <a:srgbClr val="FF0000"/>
              </a:solidFill>
            </a:rPr>
            <a:t>入力いただくよう、お願い致します。（記入方法は、別シートの記入例を参照下さい。）</a:t>
          </a:r>
          <a:endParaRPr kumimoji="1" lang="en-US" altLang="ja-JP" sz="1050" b="1">
            <a:solidFill>
              <a:srgbClr val="FF0000"/>
            </a:solidFill>
          </a:endParaRPr>
        </a:p>
        <a:p>
          <a:pPr algn="ctr"/>
          <a:r>
            <a:rPr kumimoji="1" lang="ja-JP" altLang="en-US" sz="1050" b="1" u="dbl">
              <a:solidFill>
                <a:srgbClr val="FF0000"/>
              </a:solidFill>
            </a:rPr>
            <a:t>２ページ目の区分別集計表も、一括振込申請書と併せてご郵送ください。</a:t>
          </a:r>
        </a:p>
      </xdr:txBody>
    </xdr:sp>
    <xdr:clientData/>
  </xdr:twoCellAnchor>
  <xdr:twoCellAnchor>
    <xdr:from>
      <xdr:col>11</xdr:col>
      <xdr:colOff>70903</xdr:colOff>
      <xdr:row>0</xdr:row>
      <xdr:rowOff>110836</xdr:rowOff>
    </xdr:from>
    <xdr:to>
      <xdr:col>19</xdr:col>
      <xdr:colOff>250115</xdr:colOff>
      <xdr:row>0</xdr:row>
      <xdr:rowOff>684577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BC593E-F2E9-478E-9D46-DB0DDB091CB0}"/>
            </a:ext>
          </a:extLst>
        </xdr:cNvPr>
        <xdr:cNvSpPr txBox="1"/>
      </xdr:nvSpPr>
      <xdr:spPr>
        <a:xfrm>
          <a:off x="7108197" y="110836"/>
          <a:ext cx="6400718" cy="57374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このページは一覧表作成後、自動で入力されますので、事業所様での入力は不要です。</a:t>
          </a: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印刷して</a:t>
          </a:r>
          <a:r>
            <a:rPr kumimoji="1" lang="en-US" altLang="ja-JP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ページ目の一括振込申請書と併せてご郵送ください。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326572</xdr:colOff>
      <xdr:row>16</xdr:row>
      <xdr:rowOff>171415</xdr:rowOff>
    </xdr:from>
    <xdr:to>
      <xdr:col>8</xdr:col>
      <xdr:colOff>344714</xdr:colOff>
      <xdr:row>32</xdr:row>
      <xdr:rowOff>117928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649A0A-5377-499B-A92A-9E9E171D4521}"/>
            </a:ext>
          </a:extLst>
        </xdr:cNvPr>
        <xdr:cNvSpPr txBox="1"/>
      </xdr:nvSpPr>
      <xdr:spPr>
        <a:xfrm>
          <a:off x="1369786" y="5124415"/>
          <a:ext cx="3664857" cy="430079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級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級と五輪を併願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する場合は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級 兼 五輪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級受検で在校生・訓練生の場合は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【3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級在学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を選択してください。</a:t>
          </a:r>
          <a:endParaRPr lang="ja-JP" altLang="ja-JP" b="0">
            <a:effectLst/>
          </a:endParaRPr>
        </a:p>
        <a:p>
          <a:endParaRPr lang="en-US" altLang="ja-JP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◎受検区分</a:t>
          </a:r>
          <a:endParaRPr lang="en-US" altLang="ja-JP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Ａ甲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実技・学科とも受検</a:t>
          </a:r>
          <a:endParaRPr lang="ja-JP" altLang="ja-JP" sz="1200">
            <a:effectLst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Ａ乙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学科のみ受検（免除なし）</a:t>
          </a:r>
          <a:endParaRPr lang="ja-JP" altLang="ja-JP" sz="1200">
            <a:effectLst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Ａ丙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実技のみ受検（免除なし）</a:t>
          </a:r>
          <a:endParaRPr lang="ja-JP" altLang="ja-JP" sz="1200">
            <a:effectLst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  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Ｂ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学科のみ受検（実技免除）</a:t>
          </a:r>
          <a:endParaRPr lang="ja-JP" altLang="ja-JP" sz="1200">
            <a:effectLst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  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実技のみ受検（学科免除）</a:t>
          </a:r>
          <a:endParaRPr lang="ja-JP" altLang="ja-JP" sz="1200">
            <a:effectLst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  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Ｄ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　実技・学科とも免除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五輪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五輪のみ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減額対象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日時点で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歳以下の方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(1990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年・平成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日以降に生まれた方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級又は</a:t>
          </a:r>
          <a:r>
            <a:rPr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級の実技試験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を受検する場合、受検手数料が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9,000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円減額されます。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→上記にあてはまる場合、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を選択してください。</a:t>
          </a:r>
          <a:endParaRPr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◎受検手数料の金額については、受検案内３ページを参照し、ご確認ください。</a:t>
          </a:r>
          <a:endParaRPr lang="ja-JP" altLang="ja-JP" sz="1200" b="1">
            <a:effectLst/>
          </a:endParaRPr>
        </a:p>
        <a:p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申請者が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名を超える場合は、別紙を添付してください。</a:t>
          </a:r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116540</xdr:colOff>
      <xdr:row>0</xdr:row>
      <xdr:rowOff>726141</xdr:rowOff>
    </xdr:from>
    <xdr:to>
      <xdr:col>2</xdr:col>
      <xdr:colOff>277906</xdr:colOff>
      <xdr:row>1</xdr:row>
      <xdr:rowOff>358589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3D44B5-94F9-4211-A9F0-23B1CB5A1760}"/>
            </a:ext>
          </a:extLst>
        </xdr:cNvPr>
        <xdr:cNvSpPr txBox="1"/>
      </xdr:nvSpPr>
      <xdr:spPr>
        <a:xfrm>
          <a:off x="726140" y="726141"/>
          <a:ext cx="770966" cy="394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入力用</a:t>
          </a:r>
        </a:p>
      </xdr:txBody>
    </xdr:sp>
    <xdr:clientData/>
  </xdr:twoCellAnchor>
  <xdr:twoCellAnchor>
    <xdr:from>
      <xdr:col>0</xdr:col>
      <xdr:colOff>95250</xdr:colOff>
      <xdr:row>0</xdr:row>
      <xdr:rowOff>98612</xdr:rowOff>
    </xdr:from>
    <xdr:to>
      <xdr:col>9</xdr:col>
      <xdr:colOff>620486</xdr:colOff>
      <xdr:row>0</xdr:row>
      <xdr:rowOff>672353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ADECF00-D4A5-4791-803B-0ECE48F9A46D}"/>
            </a:ext>
          </a:extLst>
        </xdr:cNvPr>
        <xdr:cNvSpPr txBox="1"/>
      </xdr:nvSpPr>
      <xdr:spPr>
        <a:xfrm>
          <a:off x="95250" y="98612"/>
          <a:ext cx="5826579" cy="57374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 u="sng">
              <a:solidFill>
                <a:srgbClr val="FF0000"/>
              </a:solidFill>
            </a:rPr>
            <a:t>黄色の色付部分のみ</a:t>
          </a:r>
          <a:r>
            <a:rPr kumimoji="1" lang="ja-JP" altLang="en-US" sz="1000" b="1">
              <a:solidFill>
                <a:srgbClr val="FF0000"/>
              </a:solidFill>
            </a:rPr>
            <a:t>入力いただくよう、お願い致します。（記入方法は、別シートの記入例を参照下さい。）</a:t>
          </a:r>
        </a:p>
        <a:p>
          <a:pPr algn="ctr"/>
          <a:r>
            <a:rPr kumimoji="1" lang="ja-JP" altLang="en-US" sz="1000" b="1" u="sng">
              <a:solidFill>
                <a:srgbClr val="FF0000"/>
              </a:solidFill>
            </a:rPr>
            <a:t>２ページ目の区分別集計表も、一括振込申請書と併せてご郵送ください。</a:t>
          </a:r>
        </a:p>
      </xdr:txBody>
    </xdr:sp>
    <xdr:clientData/>
  </xdr:twoCellAnchor>
  <xdr:twoCellAnchor>
    <xdr:from>
      <xdr:col>10</xdr:col>
      <xdr:colOff>124692</xdr:colOff>
      <xdr:row>0</xdr:row>
      <xdr:rowOff>110836</xdr:rowOff>
    </xdr:from>
    <xdr:to>
      <xdr:col>18</xdr:col>
      <xdr:colOff>349624</xdr:colOff>
      <xdr:row>0</xdr:row>
      <xdr:rowOff>684577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A809F30-22B5-42FC-848A-9647C5B364A6}"/>
            </a:ext>
          </a:extLst>
        </xdr:cNvPr>
        <xdr:cNvSpPr txBox="1"/>
      </xdr:nvSpPr>
      <xdr:spPr>
        <a:xfrm>
          <a:off x="7165572" y="110836"/>
          <a:ext cx="6282832" cy="57374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solidFill>
                <a:srgbClr val="FF0000"/>
              </a:solidFill>
            </a:rPr>
            <a:t>このページは一覧表作成後、自動で入力されますので、団体様での入力は不要です。</a:t>
          </a:r>
        </a:p>
        <a:p>
          <a:pPr algn="ctr"/>
          <a:r>
            <a:rPr kumimoji="1" lang="ja-JP" altLang="en-US" sz="1050" b="1">
              <a:solidFill>
                <a:srgbClr val="FF0000"/>
              </a:solidFill>
            </a:rPr>
            <a:t>印刷して</a:t>
          </a:r>
          <a:r>
            <a:rPr kumimoji="1" lang="en-US" altLang="ja-JP" sz="1050" b="1" u="sng">
              <a:solidFill>
                <a:srgbClr val="FF0000"/>
              </a:solidFill>
            </a:rPr>
            <a:t>1</a:t>
          </a:r>
          <a:r>
            <a:rPr kumimoji="1" lang="ja-JP" altLang="en-US" sz="1050" b="1" u="sng">
              <a:solidFill>
                <a:srgbClr val="FF0000"/>
              </a:solidFill>
            </a:rPr>
            <a:t>ページ目の一括振込申請書と併せてご郵送ください。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okai-taro@tokyo-vada.o12345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E883E-9F26-4BEB-9874-7A743349B081}">
  <sheetPr codeName="Sheet1">
    <tabColor theme="1"/>
  </sheetPr>
  <dimension ref="B1:U36"/>
  <sheetViews>
    <sheetView tabSelected="1" view="pageBreakPreview" zoomScaleNormal="100" zoomScaleSheetLayoutView="100" workbookViewId="0">
      <selection activeCell="H15" sqref="H15:I15"/>
    </sheetView>
  </sheetViews>
  <sheetFormatPr defaultRowHeight="13" x14ac:dyDescent="0.2"/>
  <cols>
    <col min="6" max="6" width="11.6328125" customWidth="1"/>
    <col min="7" max="9" width="8.90625" customWidth="1"/>
    <col min="11" max="11" width="8.90625" customWidth="1"/>
    <col min="12" max="12" width="12.36328125" customWidth="1"/>
    <col min="13" max="13" width="11.08984375" customWidth="1"/>
    <col min="14" max="14" width="17.81640625" customWidth="1"/>
    <col min="15" max="16" width="11.08984375" customWidth="1"/>
    <col min="17" max="17" width="10.54296875" bestFit="1" customWidth="1"/>
    <col min="18" max="18" width="11.1796875" customWidth="1"/>
    <col min="19" max="20" width="4.453125" customWidth="1"/>
  </cols>
  <sheetData>
    <row r="1" spans="2:21" ht="60" customHeight="1" thickBot="1" x14ac:dyDescent="0.25"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2:21" ht="29.4" customHeight="1" thickBot="1" x14ac:dyDescent="0.25">
      <c r="B2" s="57"/>
      <c r="C2" s="57"/>
      <c r="D2" s="141" t="s">
        <v>15</v>
      </c>
      <c r="E2" s="141"/>
      <c r="F2" s="141"/>
      <c r="G2" s="141"/>
      <c r="H2" s="141"/>
      <c r="I2" s="141"/>
      <c r="J2" s="57"/>
      <c r="K2" s="58" t="s">
        <v>63</v>
      </c>
      <c r="L2" s="37"/>
      <c r="M2" s="142" t="s">
        <v>35</v>
      </c>
      <c r="N2" s="142"/>
      <c r="O2" s="142"/>
      <c r="P2" s="37"/>
      <c r="Q2" s="37"/>
      <c r="R2" s="81" t="s">
        <v>63</v>
      </c>
      <c r="S2" s="82"/>
      <c r="T2" s="37"/>
    </row>
    <row r="3" spans="2:21" ht="11.5" customHeight="1" x14ac:dyDescent="0.2">
      <c r="B3" s="143" t="s">
        <v>136</v>
      </c>
      <c r="C3" s="143"/>
      <c r="D3" s="143"/>
      <c r="E3" s="143"/>
      <c r="F3" s="143"/>
      <c r="G3" s="143"/>
      <c r="H3" s="143"/>
      <c r="I3" s="143"/>
      <c r="J3" s="143"/>
      <c r="K3" s="143"/>
      <c r="L3" s="37"/>
      <c r="M3" s="37"/>
      <c r="N3" s="37"/>
      <c r="O3" s="37"/>
      <c r="P3" s="37"/>
      <c r="Q3" s="37"/>
      <c r="R3" s="37"/>
      <c r="S3" s="37"/>
      <c r="T3" s="37"/>
    </row>
    <row r="4" spans="2:21" ht="30.65" customHeight="1" x14ac:dyDescent="0.2">
      <c r="B4" s="144" t="s">
        <v>144</v>
      </c>
      <c r="C4" s="144"/>
      <c r="D4" s="144"/>
      <c r="E4" s="144"/>
      <c r="F4" s="144"/>
      <c r="G4" s="144"/>
      <c r="H4" s="144"/>
      <c r="I4" s="144"/>
      <c r="J4" s="144"/>
      <c r="K4" s="144"/>
      <c r="L4" s="38" t="s">
        <v>58</v>
      </c>
      <c r="M4" s="148">
        <f>D7</f>
        <v>0</v>
      </c>
      <c r="N4" s="148"/>
      <c r="O4" s="38" t="s">
        <v>59</v>
      </c>
      <c r="P4" s="148">
        <f>D10</f>
        <v>0</v>
      </c>
      <c r="Q4" s="148"/>
      <c r="R4" s="37"/>
      <c r="S4" s="37"/>
      <c r="T4" s="39"/>
    </row>
    <row r="5" spans="2:21" ht="6.65" customHeight="1" thickBot="1" x14ac:dyDescent="0.25">
      <c r="B5" s="59"/>
      <c r="C5" s="59"/>
      <c r="D5" s="57"/>
      <c r="E5" s="60"/>
      <c r="F5" s="61"/>
      <c r="G5" s="61"/>
      <c r="H5" s="61"/>
      <c r="I5" s="62"/>
      <c r="J5" s="63"/>
      <c r="K5" s="63"/>
      <c r="L5" s="40"/>
      <c r="M5" s="41"/>
      <c r="N5" s="37"/>
      <c r="O5" s="42"/>
      <c r="P5" s="43"/>
      <c r="Q5" s="37"/>
      <c r="R5" s="37"/>
      <c r="S5" s="37"/>
      <c r="T5" s="37"/>
    </row>
    <row r="6" spans="2:21" ht="14.5" thickBot="1" x14ac:dyDescent="0.25">
      <c r="B6" s="59"/>
      <c r="C6" s="59"/>
      <c r="D6" s="57"/>
      <c r="E6" s="147"/>
      <c r="F6" s="147"/>
      <c r="G6" s="147"/>
      <c r="H6" s="133"/>
      <c r="I6" s="64" t="s">
        <v>55</v>
      </c>
      <c r="J6" s="145">
        <f ca="1">TODAY()</f>
        <v>45897</v>
      </c>
      <c r="K6" s="146"/>
      <c r="L6" s="38" t="s">
        <v>60</v>
      </c>
      <c r="M6" s="148">
        <f>I10</f>
        <v>0</v>
      </c>
      <c r="N6" s="148"/>
      <c r="O6" s="44" t="s">
        <v>61</v>
      </c>
      <c r="P6" s="93">
        <f>C11</f>
        <v>0</v>
      </c>
      <c r="Q6" s="44" t="s">
        <v>62</v>
      </c>
      <c r="R6" s="93">
        <f>F11</f>
        <v>0</v>
      </c>
      <c r="S6" s="45"/>
      <c r="T6" s="37"/>
    </row>
    <row r="7" spans="2:21" ht="24.65" customHeight="1" thickBot="1" x14ac:dyDescent="0.25">
      <c r="B7" s="159" t="s">
        <v>8</v>
      </c>
      <c r="C7" s="160"/>
      <c r="D7" s="161"/>
      <c r="E7" s="161"/>
      <c r="F7" s="161"/>
      <c r="G7" s="161"/>
      <c r="H7" s="162"/>
      <c r="I7" s="162"/>
      <c r="J7" s="162"/>
      <c r="K7" s="163"/>
      <c r="L7" s="37"/>
      <c r="M7" s="37"/>
      <c r="N7" s="37"/>
      <c r="O7" s="37"/>
      <c r="P7" s="37"/>
      <c r="Q7" s="37"/>
      <c r="R7" s="37"/>
      <c r="S7" s="37"/>
      <c r="T7" s="37"/>
    </row>
    <row r="8" spans="2:21" ht="24.65" customHeight="1" x14ac:dyDescent="0.2">
      <c r="B8" s="164" t="s">
        <v>13</v>
      </c>
      <c r="C8" s="165"/>
      <c r="D8" s="179"/>
      <c r="E8" s="180"/>
      <c r="F8" s="65"/>
      <c r="G8" s="65"/>
      <c r="H8" s="65"/>
      <c r="I8" s="65"/>
      <c r="J8" s="65"/>
      <c r="K8" s="66"/>
      <c r="L8" s="37"/>
      <c r="M8" s="220" t="s">
        <v>36</v>
      </c>
      <c r="N8" s="221"/>
      <c r="O8" s="205" t="s">
        <v>37</v>
      </c>
      <c r="P8" s="206"/>
      <c r="Q8" s="46" t="s">
        <v>38</v>
      </c>
      <c r="R8" s="47" t="s">
        <v>39</v>
      </c>
      <c r="S8" s="37"/>
      <c r="T8" s="37"/>
    </row>
    <row r="9" spans="2:21" ht="24.65" customHeight="1" x14ac:dyDescent="0.2">
      <c r="B9" s="166"/>
      <c r="C9" s="167"/>
      <c r="D9" s="168"/>
      <c r="E9" s="169"/>
      <c r="F9" s="169"/>
      <c r="G9" s="169"/>
      <c r="H9" s="169"/>
      <c r="I9" s="169"/>
      <c r="J9" s="169"/>
      <c r="K9" s="170"/>
      <c r="L9" s="37"/>
      <c r="M9" s="207" t="s">
        <v>48</v>
      </c>
      <c r="N9" s="208"/>
      <c r="O9" s="83" t="s">
        <v>40</v>
      </c>
      <c r="P9" s="84">
        <v>12300</v>
      </c>
      <c r="Q9" s="87">
        <f>SUM('記 入 例'!AB51:AB53)</f>
        <v>0</v>
      </c>
      <c r="R9" s="88">
        <f>Q9*P9</f>
        <v>0</v>
      </c>
      <c r="S9" s="111">
        <v>110</v>
      </c>
      <c r="T9" s="37"/>
    </row>
    <row r="10" spans="2:21" ht="24.65" customHeight="1" x14ac:dyDescent="0.2">
      <c r="B10" s="171" t="s">
        <v>7</v>
      </c>
      <c r="C10" s="172"/>
      <c r="D10" s="173"/>
      <c r="E10" s="174"/>
      <c r="F10" s="175"/>
      <c r="G10" s="181" t="s">
        <v>6</v>
      </c>
      <c r="H10" s="182"/>
      <c r="I10" s="176"/>
      <c r="J10" s="177"/>
      <c r="K10" s="178"/>
      <c r="L10" s="37"/>
      <c r="M10" s="209"/>
      <c r="N10" s="210"/>
      <c r="O10" s="48" t="s">
        <v>41</v>
      </c>
      <c r="P10" s="49">
        <v>21300</v>
      </c>
      <c r="Q10" s="50">
        <f>SUM('記 入 例'!AB42:AB46)</f>
        <v>0</v>
      </c>
      <c r="R10" s="91">
        <f>Q10*P10</f>
        <v>0</v>
      </c>
      <c r="S10" s="111">
        <v>111</v>
      </c>
      <c r="T10" s="37"/>
    </row>
    <row r="11" spans="2:21" ht="24.65" customHeight="1" thickBot="1" x14ac:dyDescent="0.25">
      <c r="B11" s="135" t="s">
        <v>5</v>
      </c>
      <c r="C11" s="149"/>
      <c r="D11" s="149"/>
      <c r="E11" s="75" t="s">
        <v>4</v>
      </c>
      <c r="F11" s="150"/>
      <c r="G11" s="151"/>
      <c r="H11" s="134" t="s">
        <v>140</v>
      </c>
      <c r="I11" s="156"/>
      <c r="J11" s="157"/>
      <c r="K11" s="158"/>
      <c r="L11" s="37"/>
      <c r="M11" s="216" t="s">
        <v>49</v>
      </c>
      <c r="N11" s="217"/>
      <c r="O11" s="48"/>
      <c r="P11" s="49">
        <v>3100</v>
      </c>
      <c r="Q11" s="50">
        <f>SUM('記 入 例'!AF42:AF49)</f>
        <v>0</v>
      </c>
      <c r="R11" s="91">
        <f t="shared" ref="R11:R19" si="0">Q11*P11</f>
        <v>0</v>
      </c>
      <c r="S11" s="111">
        <v>121</v>
      </c>
      <c r="T11" s="37"/>
    </row>
    <row r="12" spans="2:21" ht="24" customHeight="1" thickBot="1" x14ac:dyDescent="0.25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37"/>
      <c r="M12" s="207" t="s">
        <v>50</v>
      </c>
      <c r="N12" s="208"/>
      <c r="O12" s="83" t="s">
        <v>40</v>
      </c>
      <c r="P12" s="84">
        <v>9200</v>
      </c>
      <c r="Q12" s="85">
        <f>SUM('記 入 例'!AJ51:AJ53)</f>
        <v>0</v>
      </c>
      <c r="R12" s="88">
        <f t="shared" si="0"/>
        <v>0</v>
      </c>
      <c r="S12" s="111">
        <v>130</v>
      </c>
      <c r="T12" s="37"/>
    </row>
    <row r="13" spans="2:21" ht="21.65" customHeight="1" x14ac:dyDescent="0.2">
      <c r="B13" s="183" t="s">
        <v>12</v>
      </c>
      <c r="C13" s="185" t="s">
        <v>3</v>
      </c>
      <c r="D13" s="152" t="s">
        <v>2</v>
      </c>
      <c r="E13" s="187"/>
      <c r="F13" s="153"/>
      <c r="G13" s="191" t="s">
        <v>14</v>
      </c>
      <c r="H13" s="152" t="s">
        <v>1</v>
      </c>
      <c r="I13" s="153"/>
      <c r="J13" s="191" t="s">
        <v>10</v>
      </c>
      <c r="K13" s="224" t="s">
        <v>11</v>
      </c>
      <c r="L13" s="37"/>
      <c r="M13" s="209"/>
      <c r="N13" s="210"/>
      <c r="O13" s="48" t="s">
        <v>41</v>
      </c>
      <c r="P13" s="49">
        <v>18200</v>
      </c>
      <c r="Q13" s="50">
        <f>SUM('記 入 例'!AJ42:AJ48)</f>
        <v>0</v>
      </c>
      <c r="R13" s="91">
        <f t="shared" si="0"/>
        <v>0</v>
      </c>
      <c r="S13" s="111">
        <v>131</v>
      </c>
      <c r="T13" s="37"/>
    </row>
    <row r="14" spans="2:21" ht="21.65" customHeight="1" thickBot="1" x14ac:dyDescent="0.25">
      <c r="B14" s="184"/>
      <c r="C14" s="186"/>
      <c r="D14" s="188"/>
      <c r="E14" s="189"/>
      <c r="F14" s="190"/>
      <c r="G14" s="192"/>
      <c r="H14" s="154"/>
      <c r="I14" s="155"/>
      <c r="J14" s="193"/>
      <c r="K14" s="225"/>
      <c r="L14" s="37"/>
      <c r="M14" s="216" t="s">
        <v>51</v>
      </c>
      <c r="N14" s="217"/>
      <c r="O14" s="48"/>
      <c r="P14" s="49">
        <v>3100</v>
      </c>
      <c r="Q14" s="50">
        <f>SUM('記 入 例'!AN42:AN49)</f>
        <v>0</v>
      </c>
      <c r="R14" s="91">
        <f t="shared" si="0"/>
        <v>0</v>
      </c>
      <c r="S14" s="111">
        <v>141</v>
      </c>
      <c r="T14" s="37"/>
      <c r="U14" s="86"/>
    </row>
    <row r="15" spans="2:21" ht="22.75" customHeight="1" x14ac:dyDescent="0.2">
      <c r="B15" s="68">
        <v>1</v>
      </c>
      <c r="C15" s="94"/>
      <c r="D15" s="197"/>
      <c r="E15" s="198"/>
      <c r="F15" s="199"/>
      <c r="G15" s="95"/>
      <c r="H15" s="200"/>
      <c r="I15" s="201"/>
      <c r="J15" s="95"/>
      <c r="K15" s="69" t="str">
        <f>'記 入 例'!W42</f>
        <v>無し</v>
      </c>
      <c r="L15" s="37"/>
      <c r="M15" s="207" t="s">
        <v>52</v>
      </c>
      <c r="N15" s="208"/>
      <c r="O15" s="83" t="s">
        <v>40</v>
      </c>
      <c r="P15" s="84">
        <v>9200</v>
      </c>
      <c r="Q15" s="85">
        <f>SUM('記 入 例'!AR51:AR53)</f>
        <v>0</v>
      </c>
      <c r="R15" s="88">
        <f t="shared" si="0"/>
        <v>0</v>
      </c>
      <c r="S15" s="111">
        <v>150</v>
      </c>
      <c r="T15" s="37"/>
    </row>
    <row r="16" spans="2:21" ht="22.75" customHeight="1" x14ac:dyDescent="0.2">
      <c r="B16" s="70">
        <f>B15+1</f>
        <v>2</v>
      </c>
      <c r="C16" s="96"/>
      <c r="D16" s="194"/>
      <c r="E16" s="195"/>
      <c r="F16" s="196"/>
      <c r="G16" s="97"/>
      <c r="H16" s="173"/>
      <c r="I16" s="175"/>
      <c r="J16" s="98"/>
      <c r="K16" s="71" t="str">
        <f>'記 入 例'!W43</f>
        <v>無し</v>
      </c>
      <c r="L16" s="37"/>
      <c r="M16" s="209"/>
      <c r="N16" s="210"/>
      <c r="O16" s="48" t="s">
        <v>41</v>
      </c>
      <c r="P16" s="49">
        <v>18200</v>
      </c>
      <c r="Q16" s="50">
        <f>SUM('記 入 例'!AR42:AR48)</f>
        <v>0</v>
      </c>
      <c r="R16" s="91">
        <f t="shared" si="0"/>
        <v>0</v>
      </c>
      <c r="S16" s="111">
        <v>151</v>
      </c>
      <c r="T16" s="37"/>
    </row>
    <row r="17" spans="2:20" ht="22.75" customHeight="1" x14ac:dyDescent="0.2">
      <c r="B17" s="70">
        <f t="shared" ref="B17:B34" si="1">B16+1</f>
        <v>3</v>
      </c>
      <c r="C17" s="96"/>
      <c r="D17" s="194"/>
      <c r="E17" s="195"/>
      <c r="F17" s="196"/>
      <c r="G17" s="97"/>
      <c r="H17" s="173"/>
      <c r="I17" s="175"/>
      <c r="J17" s="98"/>
      <c r="K17" s="71" t="str">
        <f>'記 入 例'!W44</f>
        <v>無し</v>
      </c>
      <c r="L17" s="37"/>
      <c r="M17" s="216" t="s">
        <v>53</v>
      </c>
      <c r="N17" s="217"/>
      <c r="O17" s="48"/>
      <c r="P17" s="49">
        <v>2000</v>
      </c>
      <c r="Q17" s="50">
        <f>SUM('記 入 例'!AV42:AV49)</f>
        <v>0</v>
      </c>
      <c r="R17" s="91">
        <f t="shared" si="0"/>
        <v>0</v>
      </c>
      <c r="S17" s="111">
        <v>161</v>
      </c>
      <c r="T17" s="37"/>
    </row>
    <row r="18" spans="2:20" ht="22.75" customHeight="1" x14ac:dyDescent="0.2">
      <c r="B18" s="70">
        <f t="shared" si="1"/>
        <v>4</v>
      </c>
      <c r="C18" s="96"/>
      <c r="D18" s="194"/>
      <c r="E18" s="195"/>
      <c r="F18" s="196"/>
      <c r="G18" s="97"/>
      <c r="H18" s="173"/>
      <c r="I18" s="175"/>
      <c r="J18" s="98"/>
      <c r="K18" s="71" t="str">
        <f>'記 入 例'!W45</f>
        <v>無し</v>
      </c>
      <c r="L18" s="37"/>
      <c r="M18" s="207" t="s">
        <v>54</v>
      </c>
      <c r="N18" s="208"/>
      <c r="O18" s="83" t="s">
        <v>40</v>
      </c>
      <c r="P18" s="84">
        <v>9200</v>
      </c>
      <c r="Q18" s="85">
        <f>SUM('記 入 例'!AN63)</f>
        <v>0</v>
      </c>
      <c r="R18" s="88">
        <f t="shared" si="0"/>
        <v>0</v>
      </c>
      <c r="S18" s="111">
        <v>550</v>
      </c>
      <c r="T18" s="37"/>
    </row>
    <row r="19" spans="2:20" ht="22.75" customHeight="1" thickBot="1" x14ac:dyDescent="0.25">
      <c r="B19" s="72">
        <f t="shared" si="1"/>
        <v>5</v>
      </c>
      <c r="C19" s="96"/>
      <c r="D19" s="194"/>
      <c r="E19" s="195"/>
      <c r="F19" s="196"/>
      <c r="G19" s="97"/>
      <c r="H19" s="173"/>
      <c r="I19" s="175"/>
      <c r="J19" s="98"/>
      <c r="K19" s="73" t="str">
        <f>'記 入 例'!W46</f>
        <v>無し</v>
      </c>
      <c r="L19" s="37"/>
      <c r="M19" s="211"/>
      <c r="N19" s="212"/>
      <c r="O19" s="51" t="s">
        <v>41</v>
      </c>
      <c r="P19" s="52">
        <v>18200</v>
      </c>
      <c r="Q19" s="53">
        <f>SUM('記 入 例'!AF63)</f>
        <v>0</v>
      </c>
      <c r="R19" s="92">
        <f t="shared" si="0"/>
        <v>0</v>
      </c>
      <c r="S19" s="111">
        <v>551</v>
      </c>
      <c r="T19" s="37"/>
    </row>
    <row r="20" spans="2:20" ht="22.75" customHeight="1" thickTop="1" thickBot="1" x14ac:dyDescent="0.25">
      <c r="B20" s="68">
        <f t="shared" si="1"/>
        <v>6</v>
      </c>
      <c r="C20" s="94"/>
      <c r="D20" s="197"/>
      <c r="E20" s="198"/>
      <c r="F20" s="199"/>
      <c r="G20" s="95"/>
      <c r="H20" s="200"/>
      <c r="I20" s="201"/>
      <c r="J20" s="95"/>
      <c r="K20" s="74" t="str">
        <f>'記 入 例'!W47</f>
        <v>無し</v>
      </c>
      <c r="L20" s="37"/>
      <c r="M20" s="213" t="s">
        <v>42</v>
      </c>
      <c r="N20" s="214"/>
      <c r="O20" s="214"/>
      <c r="P20" s="215"/>
      <c r="Q20" s="54">
        <f>SUM(Q9:Q19)</f>
        <v>0</v>
      </c>
      <c r="R20" s="89">
        <f>SUM(R9:R19)</f>
        <v>0</v>
      </c>
      <c r="S20" s="37"/>
      <c r="T20" s="37"/>
    </row>
    <row r="21" spans="2:20" ht="22.75" customHeight="1" thickBot="1" x14ac:dyDescent="0.25">
      <c r="B21" s="70">
        <f t="shared" si="1"/>
        <v>7</v>
      </c>
      <c r="C21" s="96"/>
      <c r="D21" s="194"/>
      <c r="E21" s="195"/>
      <c r="F21" s="196"/>
      <c r="G21" s="97"/>
      <c r="H21" s="173"/>
      <c r="I21" s="175"/>
      <c r="J21" s="98"/>
      <c r="K21" s="71" t="str">
        <f>'記 入 例'!W48</f>
        <v>無し</v>
      </c>
      <c r="L21" s="37"/>
      <c r="M21" s="218" t="s">
        <v>43</v>
      </c>
      <c r="N21" s="219"/>
      <c r="O21" s="39"/>
      <c r="P21" s="39"/>
      <c r="Q21" s="39"/>
      <c r="R21" s="39"/>
      <c r="S21" s="37"/>
      <c r="T21" s="37"/>
    </row>
    <row r="22" spans="2:20" ht="22.75" customHeight="1" x14ac:dyDescent="0.2">
      <c r="B22" s="70">
        <f t="shared" si="1"/>
        <v>8</v>
      </c>
      <c r="C22" s="96"/>
      <c r="D22" s="194"/>
      <c r="E22" s="195"/>
      <c r="F22" s="196"/>
      <c r="G22" s="97"/>
      <c r="H22" s="173"/>
      <c r="I22" s="175"/>
      <c r="J22" s="98"/>
      <c r="K22" s="71" t="str">
        <f>'記 入 例'!W49</f>
        <v>無し</v>
      </c>
      <c r="L22" s="37"/>
      <c r="M22" s="220" t="s">
        <v>36</v>
      </c>
      <c r="N22" s="221"/>
      <c r="O22" s="205" t="s">
        <v>37</v>
      </c>
      <c r="P22" s="206"/>
      <c r="Q22" s="55" t="s">
        <v>38</v>
      </c>
      <c r="R22" s="56" t="s">
        <v>39</v>
      </c>
      <c r="S22" s="37"/>
      <c r="T22" s="37"/>
    </row>
    <row r="23" spans="2:20" ht="22.75" customHeight="1" x14ac:dyDescent="0.2">
      <c r="B23" s="70">
        <f t="shared" si="1"/>
        <v>9</v>
      </c>
      <c r="C23" s="96"/>
      <c r="D23" s="194"/>
      <c r="E23" s="195"/>
      <c r="F23" s="196"/>
      <c r="G23" s="97"/>
      <c r="H23" s="173"/>
      <c r="I23" s="175"/>
      <c r="J23" s="98"/>
      <c r="K23" s="71" t="str">
        <f>'記 入 例'!W50</f>
        <v>無し</v>
      </c>
      <c r="L23" s="37"/>
      <c r="M23" s="207" t="s">
        <v>48</v>
      </c>
      <c r="N23" s="208"/>
      <c r="O23" s="83" t="s">
        <v>44</v>
      </c>
      <c r="P23" s="84">
        <v>6200</v>
      </c>
      <c r="Q23" s="85">
        <f>SUM('記 入 例'!AB59)</f>
        <v>0</v>
      </c>
      <c r="R23" s="88">
        <f>P23*Q23</f>
        <v>0</v>
      </c>
      <c r="S23" s="111">
        <v>310</v>
      </c>
      <c r="T23" s="37"/>
    </row>
    <row r="24" spans="2:20" ht="22.75" customHeight="1" thickBot="1" x14ac:dyDescent="0.25">
      <c r="B24" s="72">
        <f t="shared" si="1"/>
        <v>10</v>
      </c>
      <c r="C24" s="96"/>
      <c r="D24" s="194"/>
      <c r="E24" s="195"/>
      <c r="F24" s="196"/>
      <c r="G24" s="97"/>
      <c r="H24" s="173"/>
      <c r="I24" s="175"/>
      <c r="J24" s="98"/>
      <c r="K24" s="73" t="str">
        <f>'記 入 例'!W51</f>
        <v>無し</v>
      </c>
      <c r="L24" s="37"/>
      <c r="M24" s="209"/>
      <c r="N24" s="210"/>
      <c r="O24" s="48" t="s">
        <v>41</v>
      </c>
      <c r="P24" s="49">
        <v>15200</v>
      </c>
      <c r="Q24" s="50">
        <f>SUM('記 入 例'!AB57)</f>
        <v>0</v>
      </c>
      <c r="R24" s="91">
        <f t="shared" ref="R24:R31" si="2">P24*Q24</f>
        <v>0</v>
      </c>
      <c r="S24" s="111">
        <v>311</v>
      </c>
      <c r="T24" s="37"/>
    </row>
    <row r="25" spans="2:20" ht="22.75" customHeight="1" x14ac:dyDescent="0.2">
      <c r="B25" s="68">
        <f t="shared" si="1"/>
        <v>11</v>
      </c>
      <c r="C25" s="94"/>
      <c r="D25" s="197"/>
      <c r="E25" s="198"/>
      <c r="F25" s="199"/>
      <c r="G25" s="95"/>
      <c r="H25" s="200"/>
      <c r="I25" s="201"/>
      <c r="J25" s="95"/>
      <c r="K25" s="74" t="str">
        <f>'記 入 例'!W52</f>
        <v>無し</v>
      </c>
      <c r="L25" s="37"/>
      <c r="M25" s="216" t="s">
        <v>49</v>
      </c>
      <c r="N25" s="217"/>
      <c r="O25" s="48"/>
      <c r="P25" s="49">
        <v>3100</v>
      </c>
      <c r="Q25" s="50">
        <f>SUM('記 入 例'!AF57:AF58)</f>
        <v>0</v>
      </c>
      <c r="R25" s="91">
        <f t="shared" si="2"/>
        <v>0</v>
      </c>
      <c r="S25" s="111">
        <v>321</v>
      </c>
      <c r="T25" s="37"/>
    </row>
    <row r="26" spans="2:20" ht="22.75" customHeight="1" x14ac:dyDescent="0.2">
      <c r="B26" s="70">
        <f t="shared" si="1"/>
        <v>12</v>
      </c>
      <c r="C26" s="96"/>
      <c r="D26" s="194"/>
      <c r="E26" s="195"/>
      <c r="F26" s="196"/>
      <c r="G26" s="97"/>
      <c r="H26" s="173"/>
      <c r="I26" s="175"/>
      <c r="J26" s="98"/>
      <c r="K26" s="71" t="str">
        <f>'記 入 例'!W53</f>
        <v>無し</v>
      </c>
      <c r="L26" s="37"/>
      <c r="M26" s="207" t="s">
        <v>50</v>
      </c>
      <c r="N26" s="208"/>
      <c r="O26" s="83" t="s">
        <v>44</v>
      </c>
      <c r="P26" s="84">
        <v>3100</v>
      </c>
      <c r="Q26" s="85">
        <f>SUM('記 入 例'!AJ59)</f>
        <v>0</v>
      </c>
      <c r="R26" s="88">
        <f t="shared" si="2"/>
        <v>0</v>
      </c>
      <c r="S26" s="111">
        <v>330</v>
      </c>
      <c r="T26" s="37"/>
    </row>
    <row r="27" spans="2:20" ht="22.75" customHeight="1" x14ac:dyDescent="0.2">
      <c r="B27" s="70">
        <f t="shared" si="1"/>
        <v>13</v>
      </c>
      <c r="C27" s="96"/>
      <c r="D27" s="194"/>
      <c r="E27" s="195"/>
      <c r="F27" s="196"/>
      <c r="G27" s="97"/>
      <c r="H27" s="173"/>
      <c r="I27" s="175"/>
      <c r="J27" s="98"/>
      <c r="K27" s="71" t="str">
        <f>'記 入 例'!W54</f>
        <v>無し</v>
      </c>
      <c r="L27" s="37"/>
      <c r="M27" s="209"/>
      <c r="N27" s="210"/>
      <c r="O27" s="48" t="s">
        <v>45</v>
      </c>
      <c r="P27" s="49">
        <v>12100</v>
      </c>
      <c r="Q27" s="50">
        <f>SUM('記 入 例'!AJ57)</f>
        <v>0</v>
      </c>
      <c r="R27" s="91">
        <f t="shared" si="2"/>
        <v>0</v>
      </c>
      <c r="S27" s="111">
        <v>331</v>
      </c>
      <c r="T27" s="37"/>
    </row>
    <row r="28" spans="2:20" ht="22.75" customHeight="1" x14ac:dyDescent="0.2">
      <c r="B28" s="70">
        <f t="shared" si="1"/>
        <v>14</v>
      </c>
      <c r="C28" s="96"/>
      <c r="D28" s="194"/>
      <c r="E28" s="195"/>
      <c r="F28" s="196"/>
      <c r="G28" s="97"/>
      <c r="H28" s="173"/>
      <c r="I28" s="175"/>
      <c r="J28" s="98"/>
      <c r="K28" s="71" t="str">
        <f>'記 入 例'!W55</f>
        <v>無し</v>
      </c>
      <c r="L28" s="37"/>
      <c r="M28" s="216" t="s">
        <v>51</v>
      </c>
      <c r="N28" s="217"/>
      <c r="O28" s="48"/>
      <c r="P28" s="49">
        <v>3100</v>
      </c>
      <c r="Q28" s="50">
        <f>SUM('記 入 例'!AN57:AN58)</f>
        <v>0</v>
      </c>
      <c r="R28" s="91">
        <f t="shared" si="2"/>
        <v>0</v>
      </c>
      <c r="S28" s="111">
        <v>341</v>
      </c>
      <c r="T28" s="37"/>
    </row>
    <row r="29" spans="2:20" ht="22.75" customHeight="1" thickBot="1" x14ac:dyDescent="0.25">
      <c r="B29" s="72">
        <f t="shared" si="1"/>
        <v>15</v>
      </c>
      <c r="C29" s="96"/>
      <c r="D29" s="194"/>
      <c r="E29" s="195"/>
      <c r="F29" s="196"/>
      <c r="G29" s="97"/>
      <c r="H29" s="173"/>
      <c r="I29" s="175"/>
      <c r="J29" s="98"/>
      <c r="K29" s="73" t="str">
        <f>'記 入 例'!W56</f>
        <v>無し</v>
      </c>
      <c r="L29" s="37"/>
      <c r="M29" s="207" t="s">
        <v>52</v>
      </c>
      <c r="N29" s="208"/>
      <c r="O29" s="83" t="s">
        <v>44</v>
      </c>
      <c r="P29" s="84">
        <v>3100</v>
      </c>
      <c r="Q29" s="85">
        <f>SUM('記 入 例'!AR59)</f>
        <v>0</v>
      </c>
      <c r="R29" s="88">
        <f t="shared" si="2"/>
        <v>0</v>
      </c>
      <c r="S29" s="111">
        <v>350</v>
      </c>
      <c r="T29" s="37"/>
    </row>
    <row r="30" spans="2:20" ht="22.75" customHeight="1" x14ac:dyDescent="0.2">
      <c r="B30" s="68">
        <f t="shared" si="1"/>
        <v>16</v>
      </c>
      <c r="C30" s="94"/>
      <c r="D30" s="197"/>
      <c r="E30" s="198"/>
      <c r="F30" s="199"/>
      <c r="G30" s="95"/>
      <c r="H30" s="200"/>
      <c r="I30" s="201"/>
      <c r="J30" s="95"/>
      <c r="K30" s="74" t="str">
        <f>'記 入 例'!W57</f>
        <v>無し</v>
      </c>
      <c r="L30" s="37"/>
      <c r="M30" s="209"/>
      <c r="N30" s="210"/>
      <c r="O30" s="48" t="s">
        <v>45</v>
      </c>
      <c r="P30" s="49">
        <v>12100</v>
      </c>
      <c r="Q30" s="50">
        <f>SUM('記 入 例'!AR57)</f>
        <v>0</v>
      </c>
      <c r="R30" s="91">
        <f t="shared" si="2"/>
        <v>0</v>
      </c>
      <c r="S30" s="111">
        <v>351</v>
      </c>
      <c r="T30" s="37"/>
    </row>
    <row r="31" spans="2:20" ht="22.75" customHeight="1" thickBot="1" x14ac:dyDescent="0.25">
      <c r="B31" s="70">
        <f t="shared" si="1"/>
        <v>17</v>
      </c>
      <c r="C31" s="96"/>
      <c r="D31" s="194"/>
      <c r="E31" s="195"/>
      <c r="F31" s="196"/>
      <c r="G31" s="97"/>
      <c r="H31" s="173"/>
      <c r="I31" s="175"/>
      <c r="J31" s="98"/>
      <c r="K31" s="71" t="str">
        <f>'記 入 例'!W58</f>
        <v>無し</v>
      </c>
      <c r="L31" s="37"/>
      <c r="M31" s="222" t="s">
        <v>53</v>
      </c>
      <c r="N31" s="223"/>
      <c r="O31" s="51"/>
      <c r="P31" s="52">
        <v>2000</v>
      </c>
      <c r="Q31" s="53">
        <f>SUM('記 入 例'!AV57:AV58)</f>
        <v>0</v>
      </c>
      <c r="R31" s="92">
        <f t="shared" si="2"/>
        <v>0</v>
      </c>
      <c r="S31" s="111">
        <v>361</v>
      </c>
      <c r="T31" s="37"/>
    </row>
    <row r="32" spans="2:20" ht="22.75" customHeight="1" thickTop="1" thickBot="1" x14ac:dyDescent="0.25">
      <c r="B32" s="70">
        <f t="shared" si="1"/>
        <v>18</v>
      </c>
      <c r="C32" s="96"/>
      <c r="D32" s="194"/>
      <c r="E32" s="195"/>
      <c r="F32" s="196"/>
      <c r="G32" s="97"/>
      <c r="H32" s="173"/>
      <c r="I32" s="175"/>
      <c r="J32" s="98"/>
      <c r="K32" s="71" t="str">
        <f>'記 入 例'!W59</f>
        <v>無し</v>
      </c>
      <c r="L32" s="37"/>
      <c r="M32" s="202" t="s">
        <v>42</v>
      </c>
      <c r="N32" s="203"/>
      <c r="O32" s="54"/>
      <c r="P32" s="54"/>
      <c r="Q32" s="54">
        <f>SUM(Q23:Q31)</f>
        <v>0</v>
      </c>
      <c r="R32" s="89">
        <f>SUM(R23:R31)</f>
        <v>0</v>
      </c>
      <c r="S32" s="37"/>
      <c r="T32" s="37"/>
    </row>
    <row r="33" spans="2:20" ht="22.75" customHeight="1" x14ac:dyDescent="0.2">
      <c r="B33" s="70">
        <f t="shared" si="1"/>
        <v>19</v>
      </c>
      <c r="C33" s="96"/>
      <c r="D33" s="194"/>
      <c r="E33" s="195"/>
      <c r="F33" s="196"/>
      <c r="G33" s="97"/>
      <c r="H33" s="173"/>
      <c r="I33" s="175"/>
      <c r="J33" s="98"/>
      <c r="K33" s="71" t="str">
        <f>'記 入 例'!W60</f>
        <v>無し</v>
      </c>
      <c r="L33" s="37"/>
      <c r="M33" s="37"/>
      <c r="N33" s="37"/>
      <c r="O33" s="37"/>
      <c r="P33" s="37"/>
      <c r="Q33" s="37"/>
      <c r="R33" s="37"/>
      <c r="S33" s="37"/>
      <c r="T33" s="37"/>
    </row>
    <row r="34" spans="2:20" ht="22.75" customHeight="1" thickBot="1" x14ac:dyDescent="0.25">
      <c r="B34" s="72">
        <f t="shared" si="1"/>
        <v>20</v>
      </c>
      <c r="C34" s="96"/>
      <c r="D34" s="194"/>
      <c r="E34" s="195"/>
      <c r="F34" s="196"/>
      <c r="G34" s="97"/>
      <c r="H34" s="173"/>
      <c r="I34" s="175"/>
      <c r="J34" s="98"/>
      <c r="K34" s="73" t="str">
        <f>'記 入 例'!W61</f>
        <v>無し</v>
      </c>
      <c r="L34" s="37"/>
      <c r="M34" s="37"/>
      <c r="N34" s="37"/>
      <c r="O34" s="37"/>
      <c r="P34" s="204" t="s">
        <v>46</v>
      </c>
      <c r="Q34" s="204"/>
      <c r="R34" s="90">
        <f>SUM(R20,R32)</f>
        <v>0</v>
      </c>
      <c r="S34" s="37" t="s">
        <v>47</v>
      </c>
      <c r="T34" s="37"/>
    </row>
    <row r="35" spans="2:20" ht="22.75" customHeight="1" x14ac:dyDescent="0.2">
      <c r="L35" s="37"/>
      <c r="M35" s="37"/>
      <c r="N35" s="37"/>
      <c r="O35" s="37"/>
      <c r="P35" s="37"/>
      <c r="Q35" s="37"/>
      <c r="R35" s="37"/>
      <c r="S35" s="37"/>
      <c r="T35" s="37"/>
    </row>
    <row r="36" spans="2:20" ht="22.75" customHeight="1" x14ac:dyDescent="0.2"/>
  </sheetData>
  <sheetProtection algorithmName="SHA-512" hashValue="W48oswLEqfvBf7GpZkCqmayXB4vEGna8iuUhgxVkNKBTsLRSsOHIMPRPHTqBe58mRDcgbLoeueLyRSwARSGkFA==" saltValue="Ct3exLF/wwsURpE3G1g4cQ==" spinCount="100000" sheet="1" selectLockedCells="1"/>
  <mergeCells count="89">
    <mergeCell ref="H33:I33"/>
    <mergeCell ref="H34:I34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P4:Q4"/>
    <mergeCell ref="D24:F24"/>
    <mergeCell ref="D25:F25"/>
    <mergeCell ref="D26:F26"/>
    <mergeCell ref="D27:F27"/>
    <mergeCell ref="D15:F15"/>
    <mergeCell ref="D16:F16"/>
    <mergeCell ref="D21:F21"/>
    <mergeCell ref="D22:F22"/>
    <mergeCell ref="D17:F17"/>
    <mergeCell ref="D18:F18"/>
    <mergeCell ref="D19:F19"/>
    <mergeCell ref="D20:F20"/>
    <mergeCell ref="K13:K14"/>
    <mergeCell ref="H15:I15"/>
    <mergeCell ref="H16:I16"/>
    <mergeCell ref="M31:N31"/>
    <mergeCell ref="M8:N8"/>
    <mergeCell ref="M11:N11"/>
    <mergeCell ref="M14:N14"/>
    <mergeCell ref="M17:N17"/>
    <mergeCell ref="M32:N32"/>
    <mergeCell ref="P34:Q34"/>
    <mergeCell ref="O8:P8"/>
    <mergeCell ref="O22:P22"/>
    <mergeCell ref="M23:N24"/>
    <mergeCell ref="M26:N27"/>
    <mergeCell ref="M29:N30"/>
    <mergeCell ref="M18:N19"/>
    <mergeCell ref="M12:N13"/>
    <mergeCell ref="M9:N10"/>
    <mergeCell ref="M15:N16"/>
    <mergeCell ref="M20:P20"/>
    <mergeCell ref="M25:N25"/>
    <mergeCell ref="M28:N28"/>
    <mergeCell ref="M21:N21"/>
    <mergeCell ref="M22:N22"/>
    <mergeCell ref="G13:G14"/>
    <mergeCell ref="J13:J14"/>
    <mergeCell ref="D34:F34"/>
    <mergeCell ref="D29:F29"/>
    <mergeCell ref="D30:F30"/>
    <mergeCell ref="D31:F31"/>
    <mergeCell ref="D32:F32"/>
    <mergeCell ref="D33:F33"/>
    <mergeCell ref="D28:F28"/>
    <mergeCell ref="D23:F23"/>
    <mergeCell ref="H17:I17"/>
    <mergeCell ref="H18:I18"/>
    <mergeCell ref="H19:I19"/>
    <mergeCell ref="H20:I20"/>
    <mergeCell ref="H21:I21"/>
    <mergeCell ref="H22:I22"/>
    <mergeCell ref="C11:D11"/>
    <mergeCell ref="F11:G11"/>
    <mergeCell ref="H13:I14"/>
    <mergeCell ref="I11:K11"/>
    <mergeCell ref="B7:C7"/>
    <mergeCell ref="D7:K7"/>
    <mergeCell ref="B8:C9"/>
    <mergeCell ref="D9:K9"/>
    <mergeCell ref="B10:C10"/>
    <mergeCell ref="D10:F10"/>
    <mergeCell ref="I10:K10"/>
    <mergeCell ref="D8:E8"/>
    <mergeCell ref="G10:H10"/>
    <mergeCell ref="B13:B14"/>
    <mergeCell ref="C13:C14"/>
    <mergeCell ref="D13:F14"/>
    <mergeCell ref="D2:I2"/>
    <mergeCell ref="M2:O2"/>
    <mergeCell ref="B3:K3"/>
    <mergeCell ref="B4:K4"/>
    <mergeCell ref="J6:K6"/>
    <mergeCell ref="E6:G6"/>
    <mergeCell ref="M4:N4"/>
    <mergeCell ref="M6:N6"/>
  </mergeCells>
  <phoneticPr fontId="1"/>
  <dataValidations count="4">
    <dataValidation type="list" allowBlank="1" showInputMessage="1" showErrorMessage="1" sqref="J15:J34" xr:uid="{2AE7552C-28B6-4360-86BF-C48FA3FF164D}">
      <formula1>"ー,○"</formula1>
    </dataValidation>
    <dataValidation allowBlank="1" showInputMessage="1" showErrorMessage="1" errorTitle="金額エラー" error="入力金額に誤りがあります。" sqref="K15:K34" xr:uid="{029FF0DD-E682-4A63-AE78-F71DC97F58B9}"/>
    <dataValidation type="list" allowBlank="1" showInputMessage="1" showErrorMessage="1" sqref="C15:C34" xr:uid="{BFB0F61C-52E2-49F5-BDB3-4F32C148925B}">
      <formula1>"特級,１級,２級,３級,３級在学,単一等級,五輪,２級 兼 五輪"</formula1>
    </dataValidation>
    <dataValidation type="list" allowBlank="1" showInputMessage="1" showErrorMessage="1" sqref="G15:G34" xr:uid="{4902F6B7-E971-470C-8436-418B3A905524}">
      <formula1>"Ａ甲,Ａ乙,Ａ丙,Ｂ,Ｃ,Ｄ,五輪"</formula1>
    </dataValidation>
  </dataValidations>
  <pageMargins left="0.51181102362204722" right="0.51181102362204722" top="0.35433070866141736" bottom="0.35433070866141736" header="0.31496062992125984" footer="0.31496062992125984"/>
  <pageSetup paperSize="9" orientation="portrait" r:id="rId1"/>
  <ignoredErrors>
    <ignoredError sqref="K1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63F7-F82A-46E7-9742-2A6E28DA626A}">
  <sheetPr codeName="Sheet2">
    <tabColor rgb="FFFF0000"/>
  </sheetPr>
  <dimension ref="A1:AX73"/>
  <sheetViews>
    <sheetView topLeftCell="A7" zoomScale="80" zoomScaleNormal="80" zoomScaleSheetLayoutView="70" workbookViewId="0">
      <selection activeCell="R6" sqref="R6"/>
    </sheetView>
  </sheetViews>
  <sheetFormatPr defaultRowHeight="13" x14ac:dyDescent="0.2"/>
  <cols>
    <col min="1" max="1" width="4.453125" customWidth="1"/>
    <col min="2" max="2" width="10.54296875" bestFit="1" customWidth="1"/>
    <col min="9" max="9" width="8.90625" customWidth="1"/>
    <col min="10" max="10" width="9.90625" bestFit="1" customWidth="1"/>
    <col min="15" max="15" width="9.36328125" bestFit="1" customWidth="1"/>
    <col min="17" max="17" width="11.08984375" customWidth="1"/>
    <col min="20" max="20" width="2.1796875" customWidth="1"/>
    <col min="22" max="22" width="2.1796875" customWidth="1"/>
    <col min="24" max="25" width="1.08984375" customWidth="1"/>
    <col min="29" max="29" width="1.36328125" customWidth="1"/>
    <col min="32" max="32" width="8.90625" customWidth="1"/>
    <col min="33" max="33" width="1.36328125" customWidth="1"/>
    <col min="37" max="37" width="2.1796875" customWidth="1"/>
    <col min="41" max="41" width="1.08984375" customWidth="1"/>
    <col min="45" max="45" width="1.6328125" customWidth="1"/>
  </cols>
  <sheetData>
    <row r="1" spans="2:19" ht="60" customHeight="1" thickBot="1" x14ac:dyDescent="0.25"/>
    <row r="2" spans="2:19" ht="29.4" customHeight="1" thickBot="1" x14ac:dyDescent="0.25">
      <c r="C2" s="227" t="s">
        <v>15</v>
      </c>
      <c r="D2" s="227"/>
      <c r="E2" s="227"/>
      <c r="F2" s="227"/>
      <c r="G2" s="227"/>
      <c r="H2" s="227"/>
      <c r="I2" s="228"/>
      <c r="J2" s="15" t="s">
        <v>63</v>
      </c>
      <c r="L2" s="229" t="s">
        <v>35</v>
      </c>
      <c r="M2" s="229"/>
      <c r="N2" s="229"/>
      <c r="O2" s="229"/>
      <c r="P2" s="229"/>
      <c r="Q2" s="230"/>
      <c r="R2" s="80" t="s">
        <v>63</v>
      </c>
    </row>
    <row r="3" spans="2:19" ht="11.5" customHeight="1" x14ac:dyDescent="0.2">
      <c r="B3" s="299" t="s">
        <v>137</v>
      </c>
      <c r="C3" s="299"/>
      <c r="D3" s="299"/>
      <c r="E3" s="299"/>
      <c r="F3" s="299"/>
      <c r="G3" s="299"/>
      <c r="H3" s="299"/>
      <c r="I3" s="299"/>
      <c r="J3" s="299"/>
    </row>
    <row r="4" spans="2:19" ht="30.65" customHeight="1" x14ac:dyDescent="0.2">
      <c r="B4" s="300" t="s">
        <v>144</v>
      </c>
      <c r="C4" s="300"/>
      <c r="D4" s="300"/>
      <c r="E4" s="300"/>
      <c r="F4" s="300"/>
      <c r="G4" s="300"/>
      <c r="H4" s="300"/>
      <c r="I4" s="300"/>
      <c r="J4" s="300"/>
      <c r="K4" s="30" t="s">
        <v>58</v>
      </c>
      <c r="L4" s="301" t="str">
        <f>D7</f>
        <v>東京都職業能力開発協会</v>
      </c>
      <c r="M4" s="301"/>
      <c r="N4" s="30" t="s">
        <v>59</v>
      </c>
      <c r="O4" s="301" t="str">
        <f>D10</f>
        <v>技能検定部</v>
      </c>
      <c r="P4" s="301"/>
      <c r="S4" s="19"/>
    </row>
    <row r="5" spans="2:19" ht="6.65" customHeight="1" thickBot="1" x14ac:dyDescent="0.25">
      <c r="B5" s="14"/>
      <c r="C5" s="14"/>
      <c r="D5" s="13"/>
      <c r="E5" s="7"/>
      <c r="F5" s="8"/>
      <c r="G5" s="8"/>
      <c r="H5" s="9"/>
      <c r="I5" s="10"/>
      <c r="J5" s="10"/>
      <c r="K5" s="31"/>
      <c r="L5" s="29"/>
      <c r="N5" s="35"/>
      <c r="O5" s="16"/>
    </row>
    <row r="6" spans="2:19" ht="20.5" thickBot="1" x14ac:dyDescent="0.25">
      <c r="B6" s="14"/>
      <c r="C6" s="14"/>
      <c r="E6" s="302"/>
      <c r="F6" s="302"/>
      <c r="G6" s="302"/>
      <c r="H6" s="138" t="s">
        <v>55</v>
      </c>
      <c r="I6" s="303">
        <f ca="1">TODAY()</f>
        <v>45897</v>
      </c>
      <c r="J6" s="304"/>
      <c r="K6" s="30" t="s">
        <v>60</v>
      </c>
      <c r="L6" s="301" t="str">
        <f>H10</f>
        <v>能開太郎</v>
      </c>
      <c r="M6" s="301"/>
      <c r="N6" s="36" t="s">
        <v>61</v>
      </c>
      <c r="O6" s="33">
        <f>D11</f>
        <v>0</v>
      </c>
      <c r="P6" s="36" t="s">
        <v>62</v>
      </c>
      <c r="Q6" s="33" t="str">
        <f>H11</f>
        <v>ﾒｰﾙｱﾄﾞﾚｽ</v>
      </c>
      <c r="R6" s="32"/>
    </row>
    <row r="7" spans="2:19" ht="24.65" customHeight="1" thickBot="1" x14ac:dyDescent="0.25">
      <c r="B7" s="278" t="s">
        <v>8</v>
      </c>
      <c r="C7" s="279"/>
      <c r="D7" s="280" t="s">
        <v>64</v>
      </c>
      <c r="E7" s="280"/>
      <c r="F7" s="280"/>
      <c r="G7" s="280"/>
      <c r="H7" s="280"/>
      <c r="I7" s="280"/>
      <c r="J7" s="281"/>
    </row>
    <row r="8" spans="2:19" ht="24.65" customHeight="1" x14ac:dyDescent="0.2">
      <c r="B8" s="293" t="s">
        <v>13</v>
      </c>
      <c r="C8" s="294"/>
      <c r="D8" s="297" t="s">
        <v>142</v>
      </c>
      <c r="E8" s="298"/>
      <c r="F8" s="11"/>
      <c r="G8" s="11"/>
      <c r="H8" s="11"/>
      <c r="I8" s="11"/>
      <c r="J8" s="12"/>
      <c r="L8" s="253" t="s">
        <v>36</v>
      </c>
      <c r="M8" s="254"/>
      <c r="N8" s="255" t="s">
        <v>37</v>
      </c>
      <c r="O8" s="256"/>
      <c r="P8" s="20" t="s">
        <v>38</v>
      </c>
      <c r="Q8" s="21" t="s">
        <v>39</v>
      </c>
    </row>
    <row r="9" spans="2:19" ht="24.65" customHeight="1" x14ac:dyDescent="0.2">
      <c r="B9" s="295"/>
      <c r="C9" s="296"/>
      <c r="D9" s="282" t="s">
        <v>143</v>
      </c>
      <c r="E9" s="283"/>
      <c r="F9" s="283"/>
      <c r="G9" s="283"/>
      <c r="H9" s="283"/>
      <c r="I9" s="283"/>
      <c r="J9" s="284"/>
      <c r="L9" s="240" t="s">
        <v>48</v>
      </c>
      <c r="M9" s="241"/>
      <c r="N9" s="18" t="s">
        <v>40</v>
      </c>
      <c r="O9" s="76">
        <v>12300</v>
      </c>
      <c r="P9" s="17">
        <v>0</v>
      </c>
      <c r="Q9" s="22">
        <v>0</v>
      </c>
      <c r="R9" s="28">
        <v>110</v>
      </c>
    </row>
    <row r="10" spans="2:19" ht="24.65" customHeight="1" x14ac:dyDescent="0.2">
      <c r="B10" s="285" t="s">
        <v>7</v>
      </c>
      <c r="C10" s="286"/>
      <c r="D10" s="287" t="s">
        <v>65</v>
      </c>
      <c r="E10" s="288"/>
      <c r="F10" s="289"/>
      <c r="G10" s="34" t="s">
        <v>6</v>
      </c>
      <c r="H10" s="290" t="s">
        <v>66</v>
      </c>
      <c r="I10" s="291"/>
      <c r="J10" s="292"/>
      <c r="L10" s="242"/>
      <c r="M10" s="243"/>
      <c r="N10" s="18" t="s">
        <v>41</v>
      </c>
      <c r="O10" s="76">
        <v>21300</v>
      </c>
      <c r="P10" s="17">
        <v>1</v>
      </c>
      <c r="Q10" s="120">
        <f>SUM(O10*P10)</f>
        <v>21300</v>
      </c>
      <c r="R10" s="28">
        <v>111</v>
      </c>
    </row>
    <row r="11" spans="2:19" ht="24.65" customHeight="1" thickBot="1" x14ac:dyDescent="0.25">
      <c r="B11" s="135" t="s">
        <v>5</v>
      </c>
      <c r="C11" s="149" t="s">
        <v>138</v>
      </c>
      <c r="D11" s="149"/>
      <c r="E11" s="139" t="s">
        <v>4</v>
      </c>
      <c r="F11" s="150" t="s">
        <v>139</v>
      </c>
      <c r="G11" s="151"/>
      <c r="H11" s="140" t="s">
        <v>140</v>
      </c>
      <c r="I11" s="156" t="s">
        <v>141</v>
      </c>
      <c r="J11" s="277"/>
      <c r="K11" s="136"/>
      <c r="L11" s="235" t="s">
        <v>49</v>
      </c>
      <c r="M11" s="236"/>
      <c r="N11" s="18"/>
      <c r="O11" s="76">
        <v>3100</v>
      </c>
      <c r="P11" s="17">
        <v>0</v>
      </c>
      <c r="Q11" s="116">
        <f t="shared" ref="Q11:Q19" si="0">SUM(O11*P11)</f>
        <v>0</v>
      </c>
      <c r="R11" s="28">
        <v>121</v>
      </c>
    </row>
    <row r="12" spans="2:19" ht="24" customHeight="1" thickBot="1" x14ac:dyDescent="0.25">
      <c r="B12" s="137"/>
      <c r="C12" s="137"/>
      <c r="D12" s="137"/>
      <c r="E12" s="137"/>
      <c r="F12" s="137"/>
      <c r="G12" s="137"/>
      <c r="H12" s="137"/>
      <c r="I12" s="137"/>
      <c r="J12" s="137"/>
      <c r="L12" s="240" t="s">
        <v>50</v>
      </c>
      <c r="M12" s="241"/>
      <c r="N12" s="18" t="s">
        <v>40</v>
      </c>
      <c r="O12" s="76">
        <v>9200</v>
      </c>
      <c r="P12" s="17">
        <v>0</v>
      </c>
      <c r="Q12" s="116">
        <f t="shared" si="0"/>
        <v>0</v>
      </c>
      <c r="R12" s="28">
        <v>130</v>
      </c>
    </row>
    <row r="13" spans="2:19" ht="21.65" customHeight="1" x14ac:dyDescent="0.2">
      <c r="B13" s="262" t="s">
        <v>12</v>
      </c>
      <c r="C13" s="264" t="s">
        <v>3</v>
      </c>
      <c r="D13" s="266" t="s">
        <v>2</v>
      </c>
      <c r="E13" s="267"/>
      <c r="F13" s="268"/>
      <c r="G13" s="272" t="s">
        <v>14</v>
      </c>
      <c r="H13" s="266" t="s">
        <v>1</v>
      </c>
      <c r="I13" s="272" t="s">
        <v>10</v>
      </c>
      <c r="J13" s="275" t="s">
        <v>11</v>
      </c>
      <c r="L13" s="242"/>
      <c r="M13" s="243"/>
      <c r="N13" s="18" t="s">
        <v>41</v>
      </c>
      <c r="O13" s="76">
        <v>18200</v>
      </c>
      <c r="P13" s="17">
        <v>0</v>
      </c>
      <c r="Q13" s="116">
        <f t="shared" si="0"/>
        <v>0</v>
      </c>
      <c r="R13" s="28">
        <v>131</v>
      </c>
    </row>
    <row r="14" spans="2:19" ht="21.65" customHeight="1" thickBot="1" x14ac:dyDescent="0.25">
      <c r="B14" s="263"/>
      <c r="C14" s="265"/>
      <c r="D14" s="269"/>
      <c r="E14" s="270"/>
      <c r="F14" s="271"/>
      <c r="G14" s="273"/>
      <c r="H14" s="269"/>
      <c r="I14" s="274"/>
      <c r="J14" s="276"/>
      <c r="L14" s="235" t="s">
        <v>51</v>
      </c>
      <c r="M14" s="236"/>
      <c r="N14" s="18"/>
      <c r="O14" s="76">
        <v>3100</v>
      </c>
      <c r="P14" s="17">
        <v>0</v>
      </c>
      <c r="Q14" s="116">
        <f t="shared" si="0"/>
        <v>0</v>
      </c>
      <c r="R14" s="28">
        <v>141</v>
      </c>
    </row>
    <row r="15" spans="2:19" ht="21.65" customHeight="1" x14ac:dyDescent="0.2">
      <c r="B15" s="1">
        <v>1</v>
      </c>
      <c r="C15" s="99" t="s">
        <v>29</v>
      </c>
      <c r="D15" s="237" t="s">
        <v>132</v>
      </c>
      <c r="E15" s="238"/>
      <c r="F15" s="239"/>
      <c r="G15" s="101" t="s">
        <v>0</v>
      </c>
      <c r="H15" s="100" t="s">
        <v>134</v>
      </c>
      <c r="I15" s="101" t="s">
        <v>67</v>
      </c>
      <c r="J15" s="121">
        <v>21300</v>
      </c>
      <c r="L15" s="240" t="s">
        <v>52</v>
      </c>
      <c r="M15" s="241"/>
      <c r="N15" s="18" t="s">
        <v>40</v>
      </c>
      <c r="O15" s="76">
        <v>9200</v>
      </c>
      <c r="P15" s="17">
        <v>1</v>
      </c>
      <c r="Q15" s="116">
        <f t="shared" si="0"/>
        <v>9200</v>
      </c>
      <c r="R15" s="28">
        <v>150</v>
      </c>
    </row>
    <row r="16" spans="2:19" ht="21.65" customHeight="1" x14ac:dyDescent="0.2">
      <c r="B16" s="3">
        <v>2</v>
      </c>
      <c r="C16" s="102" t="s">
        <v>31</v>
      </c>
      <c r="D16" s="244" t="s">
        <v>133</v>
      </c>
      <c r="E16" s="245"/>
      <c r="F16" s="246"/>
      <c r="G16" s="104" t="s">
        <v>16</v>
      </c>
      <c r="H16" s="103" t="s">
        <v>135</v>
      </c>
      <c r="I16" s="105" t="s">
        <v>9</v>
      </c>
      <c r="J16" s="4">
        <v>9200</v>
      </c>
      <c r="L16" s="242"/>
      <c r="M16" s="243"/>
      <c r="N16" s="18" t="s">
        <v>41</v>
      </c>
      <c r="O16" s="76">
        <v>18200</v>
      </c>
      <c r="P16" s="17">
        <v>0</v>
      </c>
      <c r="Q16" s="116">
        <f t="shared" si="0"/>
        <v>0</v>
      </c>
      <c r="R16" s="28">
        <v>151</v>
      </c>
    </row>
    <row r="17" spans="2:18" ht="21.65" customHeight="1" x14ac:dyDescent="0.2">
      <c r="B17" s="3">
        <v>3</v>
      </c>
      <c r="C17" s="102"/>
      <c r="D17" s="244"/>
      <c r="E17" s="245"/>
      <c r="F17" s="246"/>
      <c r="G17" s="104"/>
      <c r="H17" s="103"/>
      <c r="I17" s="105"/>
      <c r="J17" s="4"/>
      <c r="L17" s="235" t="s">
        <v>53</v>
      </c>
      <c r="M17" s="236"/>
      <c r="N17" s="18"/>
      <c r="O17" s="76">
        <v>2000</v>
      </c>
      <c r="P17" s="17">
        <v>0</v>
      </c>
      <c r="Q17" s="116">
        <f t="shared" si="0"/>
        <v>0</v>
      </c>
      <c r="R17" s="28">
        <v>161</v>
      </c>
    </row>
    <row r="18" spans="2:18" ht="21.65" customHeight="1" x14ac:dyDescent="0.2">
      <c r="B18" s="3">
        <v>4</v>
      </c>
      <c r="C18" s="102"/>
      <c r="D18" s="244"/>
      <c r="E18" s="245"/>
      <c r="F18" s="246"/>
      <c r="G18" s="104"/>
      <c r="H18" s="103"/>
      <c r="I18" s="105"/>
      <c r="J18" s="4"/>
      <c r="L18" s="240" t="s">
        <v>54</v>
      </c>
      <c r="M18" s="241"/>
      <c r="N18" s="18" t="s">
        <v>40</v>
      </c>
      <c r="O18" s="76">
        <v>9200</v>
      </c>
      <c r="P18" s="17">
        <v>0</v>
      </c>
      <c r="Q18" s="116">
        <f t="shared" si="0"/>
        <v>0</v>
      </c>
      <c r="R18" s="28">
        <v>550</v>
      </c>
    </row>
    <row r="19" spans="2:18" ht="21.65" customHeight="1" thickBot="1" x14ac:dyDescent="0.25">
      <c r="B19" s="5">
        <v>5</v>
      </c>
      <c r="C19" s="106"/>
      <c r="D19" s="232"/>
      <c r="E19" s="233"/>
      <c r="F19" s="234"/>
      <c r="G19" s="108"/>
      <c r="H19" s="107"/>
      <c r="I19" s="109"/>
      <c r="J19" s="6"/>
      <c r="L19" s="257"/>
      <c r="M19" s="258"/>
      <c r="N19" s="27" t="s">
        <v>41</v>
      </c>
      <c r="O19" s="77">
        <v>18200</v>
      </c>
      <c r="P19" s="24">
        <v>0</v>
      </c>
      <c r="Q19" s="117">
        <f t="shared" si="0"/>
        <v>0</v>
      </c>
      <c r="R19" s="28">
        <v>551</v>
      </c>
    </row>
    <row r="20" spans="2:18" ht="21.65" customHeight="1" thickTop="1" thickBot="1" x14ac:dyDescent="0.25">
      <c r="B20" s="1">
        <v>6</v>
      </c>
      <c r="C20" s="99"/>
      <c r="D20" s="237"/>
      <c r="E20" s="238"/>
      <c r="F20" s="239"/>
      <c r="G20" s="101"/>
      <c r="H20" s="100"/>
      <c r="I20" s="104"/>
      <c r="J20" s="2"/>
      <c r="L20" s="259" t="s">
        <v>42</v>
      </c>
      <c r="M20" s="260"/>
      <c r="N20" s="260"/>
      <c r="O20" s="261"/>
      <c r="P20" s="23">
        <f>SUM(P9:P19)</f>
        <v>2</v>
      </c>
      <c r="Q20" s="118">
        <f>SUM(Q9:Q19)</f>
        <v>30500</v>
      </c>
    </row>
    <row r="21" spans="2:18" ht="21.65" customHeight="1" x14ac:dyDescent="0.2">
      <c r="B21" s="3">
        <v>7</v>
      </c>
      <c r="C21" s="102"/>
      <c r="D21" s="244"/>
      <c r="E21" s="245"/>
      <c r="F21" s="246"/>
      <c r="G21" s="104"/>
      <c r="H21" s="103"/>
      <c r="I21" s="105"/>
      <c r="J21" s="4"/>
    </row>
    <row r="22" spans="2:18" ht="21.65" customHeight="1" thickBot="1" x14ac:dyDescent="0.25">
      <c r="B22" s="3">
        <v>8</v>
      </c>
      <c r="C22" s="102"/>
      <c r="D22" s="244"/>
      <c r="E22" s="245"/>
      <c r="F22" s="246"/>
      <c r="G22" s="104"/>
      <c r="H22" s="103"/>
      <c r="I22" s="105"/>
      <c r="J22" s="4"/>
      <c r="L22" s="251" t="s">
        <v>43</v>
      </c>
      <c r="M22" s="252"/>
      <c r="N22" s="19"/>
      <c r="O22" s="19"/>
      <c r="P22" s="19"/>
      <c r="Q22" s="19"/>
    </row>
    <row r="23" spans="2:18" ht="21.65" customHeight="1" x14ac:dyDescent="0.2">
      <c r="B23" s="3">
        <v>9</v>
      </c>
      <c r="C23" s="102"/>
      <c r="D23" s="244"/>
      <c r="E23" s="245"/>
      <c r="F23" s="246"/>
      <c r="G23" s="104"/>
      <c r="H23" s="103"/>
      <c r="I23" s="105"/>
      <c r="J23" s="4"/>
      <c r="L23" s="253" t="s">
        <v>36</v>
      </c>
      <c r="M23" s="254"/>
      <c r="N23" s="255" t="s">
        <v>37</v>
      </c>
      <c r="O23" s="256"/>
      <c r="P23" s="25" t="s">
        <v>38</v>
      </c>
      <c r="Q23" s="26" t="s">
        <v>39</v>
      </c>
    </row>
    <row r="24" spans="2:18" ht="21.65" customHeight="1" thickBot="1" x14ac:dyDescent="0.25">
      <c r="B24" s="5">
        <v>10</v>
      </c>
      <c r="C24" s="106"/>
      <c r="D24" s="232"/>
      <c r="E24" s="233"/>
      <c r="F24" s="234"/>
      <c r="G24" s="108"/>
      <c r="H24" s="107"/>
      <c r="I24" s="110"/>
      <c r="J24" s="6"/>
      <c r="L24" s="240" t="s">
        <v>48</v>
      </c>
      <c r="M24" s="241"/>
      <c r="N24" s="18" t="s">
        <v>44</v>
      </c>
      <c r="O24" s="78">
        <v>6200</v>
      </c>
      <c r="P24" s="17">
        <v>0</v>
      </c>
      <c r="Q24" s="116">
        <v>0</v>
      </c>
      <c r="R24" s="28">
        <v>310</v>
      </c>
    </row>
    <row r="25" spans="2:18" ht="21.65" customHeight="1" x14ac:dyDescent="0.2">
      <c r="B25" s="1">
        <v>11</v>
      </c>
      <c r="C25" s="99"/>
      <c r="D25" s="237"/>
      <c r="E25" s="238"/>
      <c r="F25" s="239"/>
      <c r="G25" s="101"/>
      <c r="H25" s="100"/>
      <c r="I25" s="101"/>
      <c r="J25" s="2"/>
      <c r="L25" s="242"/>
      <c r="M25" s="243"/>
      <c r="N25" s="18" t="s">
        <v>41</v>
      </c>
      <c r="O25" s="78">
        <v>15200</v>
      </c>
      <c r="P25" s="17">
        <v>0</v>
      </c>
      <c r="Q25" s="116">
        <v>0</v>
      </c>
      <c r="R25" s="28">
        <v>311</v>
      </c>
    </row>
    <row r="26" spans="2:18" ht="21.65" customHeight="1" x14ac:dyDescent="0.2">
      <c r="B26" s="3">
        <v>12</v>
      </c>
      <c r="C26" s="102"/>
      <c r="D26" s="244"/>
      <c r="E26" s="245"/>
      <c r="F26" s="246"/>
      <c r="G26" s="104"/>
      <c r="H26" s="103"/>
      <c r="I26" s="105"/>
      <c r="J26" s="4"/>
      <c r="L26" s="235" t="s">
        <v>49</v>
      </c>
      <c r="M26" s="236"/>
      <c r="N26" s="18"/>
      <c r="O26" s="78">
        <v>3100</v>
      </c>
      <c r="P26" s="17">
        <v>0</v>
      </c>
      <c r="Q26" s="116">
        <v>0</v>
      </c>
      <c r="R26" s="28">
        <v>321</v>
      </c>
    </row>
    <row r="27" spans="2:18" ht="21.65" customHeight="1" x14ac:dyDescent="0.2">
      <c r="B27" s="3">
        <v>13</v>
      </c>
      <c r="C27" s="102"/>
      <c r="D27" s="244"/>
      <c r="E27" s="245"/>
      <c r="F27" s="246"/>
      <c r="G27" s="104"/>
      <c r="H27" s="103"/>
      <c r="I27" s="105"/>
      <c r="J27" s="4"/>
      <c r="L27" s="240" t="s">
        <v>50</v>
      </c>
      <c r="M27" s="241"/>
      <c r="N27" s="18" t="s">
        <v>44</v>
      </c>
      <c r="O27" s="78">
        <v>3100</v>
      </c>
      <c r="P27" s="17">
        <v>0</v>
      </c>
      <c r="Q27" s="116">
        <v>0</v>
      </c>
      <c r="R27" s="28">
        <v>330</v>
      </c>
    </row>
    <row r="28" spans="2:18" ht="21.65" customHeight="1" x14ac:dyDescent="0.2">
      <c r="B28" s="3">
        <v>14</v>
      </c>
      <c r="C28" s="102"/>
      <c r="D28" s="244"/>
      <c r="E28" s="245"/>
      <c r="F28" s="246"/>
      <c r="G28" s="104"/>
      <c r="H28" s="103"/>
      <c r="I28" s="105"/>
      <c r="J28" s="4"/>
      <c r="L28" s="242"/>
      <c r="M28" s="243"/>
      <c r="N28" s="18" t="s">
        <v>45</v>
      </c>
      <c r="O28" s="78">
        <v>12100</v>
      </c>
      <c r="P28" s="17">
        <v>0</v>
      </c>
      <c r="Q28" s="116">
        <v>0</v>
      </c>
      <c r="R28" s="28">
        <v>331</v>
      </c>
    </row>
    <row r="29" spans="2:18" ht="21.65" customHeight="1" thickBot="1" x14ac:dyDescent="0.25">
      <c r="B29" s="5">
        <v>15</v>
      </c>
      <c r="C29" s="106"/>
      <c r="D29" s="232"/>
      <c r="E29" s="233"/>
      <c r="F29" s="234"/>
      <c r="G29" s="108"/>
      <c r="H29" s="107"/>
      <c r="I29" s="109"/>
      <c r="J29" s="6"/>
      <c r="L29" s="235" t="s">
        <v>51</v>
      </c>
      <c r="M29" s="236"/>
      <c r="N29" s="18"/>
      <c r="O29" s="78">
        <v>3100</v>
      </c>
      <c r="P29" s="17">
        <v>0</v>
      </c>
      <c r="Q29" s="116">
        <v>0</v>
      </c>
      <c r="R29" s="28">
        <v>341</v>
      </c>
    </row>
    <row r="30" spans="2:18" ht="21.65" customHeight="1" x14ac:dyDescent="0.2">
      <c r="B30" s="1">
        <v>16</v>
      </c>
      <c r="C30" s="99"/>
      <c r="D30" s="237"/>
      <c r="E30" s="238"/>
      <c r="F30" s="239"/>
      <c r="G30" s="101"/>
      <c r="H30" s="100"/>
      <c r="I30" s="104"/>
      <c r="J30" s="2"/>
      <c r="L30" s="240" t="s">
        <v>52</v>
      </c>
      <c r="M30" s="241"/>
      <c r="N30" s="18" t="s">
        <v>44</v>
      </c>
      <c r="O30" s="78">
        <v>3100</v>
      </c>
      <c r="P30" s="17">
        <v>0</v>
      </c>
      <c r="Q30" s="116">
        <v>0</v>
      </c>
      <c r="R30" s="28">
        <v>350</v>
      </c>
    </row>
    <row r="31" spans="2:18" ht="21.65" customHeight="1" x14ac:dyDescent="0.2">
      <c r="B31" s="3">
        <v>17</v>
      </c>
      <c r="C31" s="102"/>
      <c r="D31" s="244"/>
      <c r="E31" s="245"/>
      <c r="F31" s="246"/>
      <c r="G31" s="104"/>
      <c r="H31" s="103"/>
      <c r="I31" s="105"/>
      <c r="J31" s="4"/>
      <c r="L31" s="242"/>
      <c r="M31" s="243"/>
      <c r="N31" s="18" t="s">
        <v>45</v>
      </c>
      <c r="O31" s="78">
        <v>12100</v>
      </c>
      <c r="P31" s="17">
        <v>0</v>
      </c>
      <c r="Q31" s="116">
        <v>0</v>
      </c>
      <c r="R31" s="28">
        <v>351</v>
      </c>
    </row>
    <row r="32" spans="2:18" ht="21.65" customHeight="1" thickBot="1" x14ac:dyDescent="0.25">
      <c r="B32" s="3">
        <v>18</v>
      </c>
      <c r="C32" s="102"/>
      <c r="D32" s="244"/>
      <c r="E32" s="245"/>
      <c r="F32" s="246"/>
      <c r="G32" s="104"/>
      <c r="H32" s="103"/>
      <c r="I32" s="105"/>
      <c r="J32" s="4"/>
      <c r="L32" s="247" t="s">
        <v>53</v>
      </c>
      <c r="M32" s="248"/>
      <c r="N32" s="27"/>
      <c r="O32" s="79">
        <v>2000</v>
      </c>
      <c r="P32" s="24">
        <v>0</v>
      </c>
      <c r="Q32" s="117">
        <v>0</v>
      </c>
      <c r="R32" s="28">
        <v>361</v>
      </c>
    </row>
    <row r="33" spans="1:50" ht="21.65" customHeight="1" thickTop="1" thickBot="1" x14ac:dyDescent="0.25">
      <c r="B33" s="3">
        <v>19</v>
      </c>
      <c r="C33" s="102"/>
      <c r="D33" s="244"/>
      <c r="E33" s="245"/>
      <c r="F33" s="246"/>
      <c r="G33" s="104"/>
      <c r="H33" s="103"/>
      <c r="I33" s="105"/>
      <c r="J33" s="4"/>
      <c r="L33" s="249" t="s">
        <v>42</v>
      </c>
      <c r="M33" s="250"/>
      <c r="N33" s="23"/>
      <c r="O33" s="23"/>
      <c r="P33" s="23">
        <v>0</v>
      </c>
      <c r="Q33" s="118">
        <v>0</v>
      </c>
    </row>
    <row r="34" spans="1:50" ht="21.65" customHeight="1" thickBot="1" x14ac:dyDescent="0.25">
      <c r="B34" s="5">
        <v>20</v>
      </c>
      <c r="C34" s="106"/>
      <c r="D34" s="232"/>
      <c r="E34" s="233"/>
      <c r="F34" s="234"/>
      <c r="G34" s="108"/>
      <c r="H34" s="107"/>
      <c r="I34" s="109"/>
      <c r="J34" s="6"/>
      <c r="O34" s="226" t="s">
        <v>46</v>
      </c>
      <c r="P34" s="226"/>
      <c r="Q34" s="119">
        <f>SUM(Q20,Q33)</f>
        <v>30500</v>
      </c>
      <c r="R34" t="s">
        <v>47</v>
      </c>
    </row>
    <row r="35" spans="1:50" ht="22.75" customHeight="1" x14ac:dyDescent="0.2">
      <c r="B35" s="112"/>
      <c r="C35" s="113"/>
      <c r="D35" s="231"/>
      <c r="E35" s="231"/>
      <c r="F35" s="231"/>
      <c r="G35" s="114"/>
      <c r="H35" s="113"/>
      <c r="I35" s="114"/>
      <c r="J35" s="115"/>
      <c r="Z35" s="127"/>
    </row>
    <row r="36" spans="1:50" ht="22.75" customHeight="1" x14ac:dyDescent="0.2">
      <c r="B36" s="112"/>
      <c r="C36" s="113"/>
      <c r="D36" s="231"/>
      <c r="E36" s="231"/>
      <c r="F36" s="231"/>
      <c r="G36" s="114"/>
      <c r="H36" s="113"/>
      <c r="I36" s="114"/>
      <c r="J36" s="115"/>
    </row>
    <row r="37" spans="1:50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</row>
    <row r="38" spans="1:50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</row>
    <row r="39" spans="1:50" x14ac:dyDescent="0.2">
      <c r="A39" s="128"/>
      <c r="B39" s="128" t="s">
        <v>30</v>
      </c>
      <c r="C39" s="128"/>
      <c r="D39" s="128"/>
      <c r="E39" s="128"/>
      <c r="F39" s="128"/>
      <c r="G39" s="128"/>
      <c r="H39" s="128"/>
      <c r="I39" s="128"/>
      <c r="J39" s="128" t="s">
        <v>56</v>
      </c>
      <c r="K39" s="128"/>
      <c r="L39" s="128"/>
      <c r="M39" s="128"/>
      <c r="N39" s="128"/>
      <c r="O39" s="128"/>
      <c r="P39" s="128"/>
      <c r="Q39" s="128"/>
      <c r="R39" s="128" t="s">
        <v>17</v>
      </c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</row>
    <row r="40" spans="1:50" x14ac:dyDescent="0.2">
      <c r="A40" s="122"/>
      <c r="B40" s="122" t="s">
        <v>19</v>
      </c>
      <c r="C40" s="122" t="s">
        <v>29</v>
      </c>
      <c r="D40" s="122" t="s">
        <v>31</v>
      </c>
      <c r="E40" s="122" t="s">
        <v>32</v>
      </c>
      <c r="F40" s="122" t="s">
        <v>34</v>
      </c>
      <c r="G40" s="122" t="s">
        <v>33</v>
      </c>
      <c r="H40" s="122" t="s">
        <v>20</v>
      </c>
      <c r="I40" s="122"/>
      <c r="J40" s="122" t="s">
        <v>21</v>
      </c>
      <c r="K40" s="122" t="s">
        <v>22</v>
      </c>
      <c r="L40" s="122" t="s">
        <v>23</v>
      </c>
      <c r="M40" s="122" t="s">
        <v>24</v>
      </c>
      <c r="N40" s="122" t="s">
        <v>25</v>
      </c>
      <c r="O40" s="122" t="s">
        <v>26</v>
      </c>
      <c r="P40" s="122" t="s">
        <v>57</v>
      </c>
      <c r="Q40" s="122"/>
      <c r="R40" s="122" t="s">
        <v>27</v>
      </c>
      <c r="S40" s="122" t="s">
        <v>28</v>
      </c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</row>
    <row r="41" spans="1:50" x14ac:dyDescent="0.2">
      <c r="A41" s="128"/>
      <c r="B41" s="122">
        <v>1</v>
      </c>
      <c r="C41" s="122">
        <v>20</v>
      </c>
      <c r="D41" s="122">
        <v>30</v>
      </c>
      <c r="E41" s="122">
        <v>40</v>
      </c>
      <c r="F41" s="122">
        <v>30</v>
      </c>
      <c r="G41" s="122">
        <v>50</v>
      </c>
      <c r="H41" s="122">
        <v>60</v>
      </c>
      <c r="I41" s="128"/>
      <c r="J41" s="122">
        <v>1</v>
      </c>
      <c r="K41" s="122">
        <v>2</v>
      </c>
      <c r="L41" s="122">
        <v>3</v>
      </c>
      <c r="M41" s="122">
        <v>4</v>
      </c>
      <c r="N41" s="122">
        <v>5</v>
      </c>
      <c r="O41" s="122">
        <v>6</v>
      </c>
      <c r="P41" s="122">
        <v>7</v>
      </c>
      <c r="Q41" s="122"/>
      <c r="R41" s="122">
        <v>100</v>
      </c>
      <c r="S41" s="122">
        <v>200</v>
      </c>
      <c r="T41" s="128"/>
      <c r="U41" s="128" t="s">
        <v>18</v>
      </c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</row>
    <row r="42" spans="1:50" x14ac:dyDescent="0.2">
      <c r="A42" s="128">
        <v>1</v>
      </c>
      <c r="B42" s="129" t="str">
        <f>IF(COUNTIF('入 力 用'!C15,"*特級*"),"1","0")</f>
        <v>0</v>
      </c>
      <c r="C42" s="129" t="str">
        <f>IF(COUNTIF('入 力 用'!C15,"*１級*"),"２0","0")</f>
        <v>0</v>
      </c>
      <c r="D42" s="129" t="str">
        <f>IF(COUNTIF('入 力 用'!C15,"*２級*"),"３0","0")</f>
        <v>0</v>
      </c>
      <c r="E42" s="129" t="str">
        <f>IF(COUNTIF('入 力 用'!C15,"*３級*"),"４0","0")</f>
        <v>0</v>
      </c>
      <c r="F42" s="129" t="str">
        <f>IF(COUNTIF('入 力 用'!C15,"*在学*"),"30","0")</f>
        <v>0</v>
      </c>
      <c r="G42" s="129" t="str">
        <f>IF(COUNTIF('入 力 用'!C15,"*単一等級*"),"５0","0")</f>
        <v>0</v>
      </c>
      <c r="H42" s="129" t="str">
        <f>IF(COUNTIF('入 力 用'!C15,"*五輪*"),"６0","0")</f>
        <v>0</v>
      </c>
      <c r="I42" s="129"/>
      <c r="J42" s="129" t="str">
        <f>IF(COUNTIF('入 力 用'!G15,"*Ａ甲*"),"1","0")</f>
        <v>0</v>
      </c>
      <c r="K42" s="129" t="str">
        <f>IF(COUNTIF('入 力 用'!G15,"*Ａ乙*"),"2","0")</f>
        <v>0</v>
      </c>
      <c r="L42" s="129" t="str">
        <f>IF(COUNTIF('入 力 用'!G15,"*Ａ丙*"),"3","0")</f>
        <v>0</v>
      </c>
      <c r="M42" s="129" t="str">
        <f>IF(COUNTIF('入 力 用'!G15,"*Ｂ*"),"4","0")</f>
        <v>0</v>
      </c>
      <c r="N42" s="129" t="str">
        <f>IF(COUNTIF('入 力 用'!G15,"*Ｃ*"),"5","0")</f>
        <v>0</v>
      </c>
      <c r="O42" s="129" t="str">
        <f>IF(COUNTIF('入 力 用'!G15,"*Ｄ*"),"6","0")</f>
        <v>0</v>
      </c>
      <c r="P42" s="129" t="str">
        <f>IF(COUNTIF('入 力 用'!G15,"*五輪*"),"７","0")</f>
        <v>0</v>
      </c>
      <c r="Q42" s="129"/>
      <c r="R42" s="129" t="str">
        <f>IF(COUNTIF('入 力 用'!J15,"*ー*"),"100","0")</f>
        <v>0</v>
      </c>
      <c r="S42" s="129" t="str">
        <f>IF(COUNTIF('入 力 用'!J15,"*○*"),"200","0")</f>
        <v>0</v>
      </c>
      <c r="T42" s="130"/>
      <c r="U42" s="131">
        <f>SUM(B42+C42+D42+E42+F42+G42+H42+J42+K42+L42+M42+N42+O42+R42+S42+P42)</f>
        <v>0</v>
      </c>
      <c r="V42" s="130"/>
      <c r="W42" s="132" t="str">
        <f>_xlfn.IFS(U42=102,"¥21,300",U42=103,"¥3,100",U42=104,"¥18,200",U42=105,"¥3,100",U42=106,"¥18,200",U42=107,"¥2,000",U42=121,"¥21,300",U42=122,"¥3,100",U42=123,"¥18,200",U42=124,"¥3,100",U42=125,"¥18,200",U42=126,"¥2,000",U42=131,"¥21,300",U42=132,"¥3,100",U42=133,"¥18,200",U42=134,"¥3,100",U42=135,"¥18,200",U42=136,"¥2,000",U42=231,"¥12,300",U42=232,"¥3,100",U42=233,"¥9,200",U42=234,"¥3,100",U42=235,"¥9,200",U42=236,"¥2,000",U42=141,"¥21,300",U42=142,"¥3,100",U42=143,"¥18,200",U42=144,"¥3,100",U42=145,"¥18,200",U42=146,"¥2,000",U42=241,"¥12,300",U42=242,"¥3,100",U42=243,"¥9,200",U42=244,"¥3,100",U42=245,"¥9,200",U42=246,"¥2,000",U42=171,"¥15,200",U42=172,"¥3,100",U42=173,"¥12,100",U42=174,"¥3,100",U42=175,"¥12,100",U42=176,"¥2,000",U42=271,"¥6,200",U42=272,"¥3,100",U42=273,"¥3,100",U42=274,"¥3,100",U42=275,"¥3,100",U42=276,"¥2,000",U42=151,"¥21,300",U42=152,"¥3,100",U42=153,"¥18,200",U42=154,"¥3,100",U42=155,"¥18,200",U42=156,"¥2,000",U42=167,"¥18,200",U42=267,"¥9,200",U42=291,"¥12,300",U42=292,"¥3,100",U42=293,"¥9,200",U42=294,"¥3,100",U42=295,"¥9,200",U42=296,"¥2,000",TRUE,"無し")</f>
        <v>無し</v>
      </c>
      <c r="X42" s="128"/>
      <c r="Y42" s="128"/>
      <c r="Z42" s="128" t="s">
        <v>68</v>
      </c>
      <c r="AA42" s="128"/>
      <c r="AB42" s="128">
        <f>COUNTIF($U$42:$U$61,102)</f>
        <v>0</v>
      </c>
      <c r="AC42" s="128"/>
      <c r="AD42" s="128" t="s">
        <v>69</v>
      </c>
      <c r="AE42" s="128"/>
      <c r="AF42" s="128">
        <f>COUNTIF($U$42:$U$61,103)</f>
        <v>0</v>
      </c>
      <c r="AG42" s="128"/>
      <c r="AH42" s="128" t="s">
        <v>70</v>
      </c>
      <c r="AI42" s="128"/>
      <c r="AJ42" s="128">
        <f>COUNTIF($U$42:$U$61,104)</f>
        <v>0</v>
      </c>
      <c r="AK42" s="128"/>
      <c r="AL42" s="128" t="s">
        <v>71</v>
      </c>
      <c r="AM42" s="128"/>
      <c r="AN42" s="128">
        <f>COUNTIF($U$42:$U$61,105)</f>
        <v>0</v>
      </c>
      <c r="AO42" s="128"/>
      <c r="AP42" s="128" t="s">
        <v>72</v>
      </c>
      <c r="AQ42" s="128"/>
      <c r="AR42" s="128">
        <f>COUNTIF($U$42:$U$61,106)</f>
        <v>0</v>
      </c>
      <c r="AS42" s="128"/>
      <c r="AT42" s="128" t="s">
        <v>73</v>
      </c>
      <c r="AU42" s="128"/>
      <c r="AV42" s="128">
        <f>COUNTIF($U$42:$U$61,107)</f>
        <v>0</v>
      </c>
      <c r="AW42" s="128"/>
      <c r="AX42" s="128"/>
    </row>
    <row r="43" spans="1:50" x14ac:dyDescent="0.2">
      <c r="A43" s="128">
        <v>2</v>
      </c>
      <c r="B43" s="129" t="str">
        <f>IF(COUNTIF('入 力 用'!C16,"*特級*"),"1","0")</f>
        <v>0</v>
      </c>
      <c r="C43" s="129" t="str">
        <f>IF(COUNTIF('入 力 用'!C16,"*１級*"),"２0","0")</f>
        <v>0</v>
      </c>
      <c r="D43" s="129" t="str">
        <f>IF(COUNTIF('入 力 用'!C16,"*２級*"),"３0","0")</f>
        <v>0</v>
      </c>
      <c r="E43" s="129" t="str">
        <f>IF(COUNTIF('入 力 用'!C16,"*３級*"),"４0","0")</f>
        <v>0</v>
      </c>
      <c r="F43" s="129" t="str">
        <f>IF(COUNTIF('入 力 用'!C16,"*在学*"),"30","0")</f>
        <v>0</v>
      </c>
      <c r="G43" s="129" t="str">
        <f>IF(COUNTIF('入 力 用'!C16,"*単一等級*"),"５0","0")</f>
        <v>0</v>
      </c>
      <c r="H43" s="129" t="str">
        <f>IF(COUNTIF('入 力 用'!C16,"*五輪*"),"６0","0")</f>
        <v>0</v>
      </c>
      <c r="I43" s="130"/>
      <c r="J43" s="129" t="str">
        <f>IF(COUNTIF('入 力 用'!G16,"*Ａ甲*"),"1","0")</f>
        <v>0</v>
      </c>
      <c r="K43" s="129" t="str">
        <f>IF(COUNTIF('入 力 用'!G16,"*Ａ乙*"),"2","0")</f>
        <v>0</v>
      </c>
      <c r="L43" s="129" t="str">
        <f>IF(COUNTIF('入 力 用'!G16,"*Ａ丙*"),"3","0")</f>
        <v>0</v>
      </c>
      <c r="M43" s="129" t="str">
        <f>IF(COUNTIF('入 力 用'!G16,"*Ｂ*"),"4","0")</f>
        <v>0</v>
      </c>
      <c r="N43" s="129" t="str">
        <f>IF(COUNTIF('入 力 用'!G16,"*Ｃ*"),"5","0")</f>
        <v>0</v>
      </c>
      <c r="O43" s="129" t="str">
        <f>IF(COUNTIF('入 力 用'!G16,"*Ｄ*"),"6","0")</f>
        <v>0</v>
      </c>
      <c r="P43" s="129" t="str">
        <f>IF(COUNTIF('入 力 用'!G16,"*五輪*"),"７","0")</f>
        <v>0</v>
      </c>
      <c r="Q43" s="130"/>
      <c r="R43" s="129" t="str">
        <f>IF(COUNTIF('入 力 用'!J16,"*ー*"),"100","0")</f>
        <v>0</v>
      </c>
      <c r="S43" s="129" t="str">
        <f>IF(COUNTIF('入 力 用'!J16,"*○*"),"200","0")</f>
        <v>0</v>
      </c>
      <c r="T43" s="130"/>
      <c r="U43" s="131">
        <f t="shared" ref="U43:U61" si="1">SUM(B43+C43+D43+E43+F43+G43+H43+J43+K43+L43+M43+N43+O43+R43+S43+P43)</f>
        <v>0</v>
      </c>
      <c r="V43" s="130"/>
      <c r="W43" s="132" t="str">
        <f t="shared" ref="W43:W61" si="2">_xlfn.IFS(U43=102,"¥21,300",U43=103,"¥3,100",U43=104,"¥18,200",U43=105,"¥3,100",U43=106,"¥18,200",U43=107,"¥2,000",U43=121,"¥21,300",U43=122,"¥3,100",U43=123,"¥18,200",U43=124,"¥3,100",U43=125,"¥18,200",U43=126,"¥2,000",U43=131,"¥21,300",U43=132,"¥3,100",U43=133,"¥18,200",U43=134,"¥3,100",U43=135,"¥18,200",U43=136,"¥2,000",U43=231,"¥12,300",U43=232,"¥3,100",U43=233,"¥9,200",U43=234,"¥3,100",U43=235,"¥9,200",U43=236,"¥2,000",U43=141,"¥21,300",U43=142,"¥3,100",U43=143,"¥18,200",U43=144,"¥3,100",U43=145,"¥18,200",U43=146,"¥2,000",U43=241,"¥12,300",U43=242,"¥3,100",U43=243,"¥9,200",U43=244,"¥3,100",U43=245,"¥9,200",U43=246,"¥2,000",U43=171,"¥15,200",U43=172,"¥3,100",U43=173,"¥12,100",U43=174,"¥3,100",U43=175,"¥12,100",U43=176,"¥2,000",U43=271,"¥6,200",U43=272,"¥3,100",U43=273,"¥3,100",U43=274,"¥3,100",U43=275,"¥3,100",U43=276,"¥2,000",U43=151,"¥21,300",U43=152,"¥3,100",U43=153,"¥18,200",U43=154,"¥3,100",U43=155,"¥18,200",U43=156,"¥2,000",U43=167,"¥18,200",U43=267,"¥9,200",U43=291,"¥12,300",U43=292,"¥3,100",U43=293,"¥9,200",U43=294,"¥3,100",U43=295,"¥9,200",U43=296,"¥2,000",TRUE,"無し")</f>
        <v>無し</v>
      </c>
      <c r="X43" s="128"/>
      <c r="Y43" s="128"/>
      <c r="Z43" s="128" t="s">
        <v>74</v>
      </c>
      <c r="AA43" s="128"/>
      <c r="AB43" s="128">
        <f>COUNTIF($U$42:$U$61,121)</f>
        <v>0</v>
      </c>
      <c r="AC43" s="128"/>
      <c r="AD43" s="128" t="s">
        <v>75</v>
      </c>
      <c r="AE43" s="128"/>
      <c r="AF43" s="128">
        <f>COUNTIF($U$42:$U$61,122)</f>
        <v>0</v>
      </c>
      <c r="AG43" s="128"/>
      <c r="AH43" s="128" t="s">
        <v>76</v>
      </c>
      <c r="AI43" s="128"/>
      <c r="AJ43" s="128">
        <f>COUNTIF($U$42:$U$61,123)</f>
        <v>0</v>
      </c>
      <c r="AK43" s="128"/>
      <c r="AL43" s="128" t="s">
        <v>77</v>
      </c>
      <c r="AM43" s="128"/>
      <c r="AN43" s="128">
        <f>COUNTIF($U$42:$U$61,124)</f>
        <v>0</v>
      </c>
      <c r="AO43" s="128"/>
      <c r="AP43" s="128" t="s">
        <v>78</v>
      </c>
      <c r="AQ43" s="128"/>
      <c r="AR43" s="128">
        <f>COUNTIF($U$42:$U$61,125)</f>
        <v>0</v>
      </c>
      <c r="AS43" s="128"/>
      <c r="AT43" s="128" t="s">
        <v>79</v>
      </c>
      <c r="AU43" s="128"/>
      <c r="AV43" s="128">
        <f>COUNTIF($U$42:$U$61,126)</f>
        <v>0</v>
      </c>
      <c r="AW43" s="128"/>
      <c r="AX43" s="128"/>
    </row>
    <row r="44" spans="1:50" x14ac:dyDescent="0.2">
      <c r="A44" s="128">
        <v>3</v>
      </c>
      <c r="B44" s="129" t="str">
        <f>IF(COUNTIF('入 力 用'!C17,"*特級*"),"1","0")</f>
        <v>0</v>
      </c>
      <c r="C44" s="129" t="str">
        <f>IF(COUNTIF('入 力 用'!C17,"*１級*"),"２0","0")</f>
        <v>0</v>
      </c>
      <c r="D44" s="129" t="str">
        <f>IF(COUNTIF('入 力 用'!C17,"*２級*"),"３0","0")</f>
        <v>0</v>
      </c>
      <c r="E44" s="129" t="str">
        <f>IF(COUNTIF('入 力 用'!C17,"*３級*"),"４0","0")</f>
        <v>0</v>
      </c>
      <c r="F44" s="129" t="str">
        <f>IF(COUNTIF('入 力 用'!C17,"*在学*"),"30","0")</f>
        <v>0</v>
      </c>
      <c r="G44" s="129" t="str">
        <f>IF(COUNTIF('入 力 用'!C17,"*単一等級*"),"５0","0")</f>
        <v>0</v>
      </c>
      <c r="H44" s="129" t="str">
        <f>IF(COUNTIF('入 力 用'!C17,"*五輪*"),"６0","0")</f>
        <v>0</v>
      </c>
      <c r="I44" s="130"/>
      <c r="J44" s="129" t="str">
        <f>IF(COUNTIF('入 力 用'!G17,"*Ａ甲*"),"1","0")</f>
        <v>0</v>
      </c>
      <c r="K44" s="129" t="str">
        <f>IF(COUNTIF('入 力 用'!G17,"*Ａ乙*"),"2","0")</f>
        <v>0</v>
      </c>
      <c r="L44" s="129" t="str">
        <f>IF(COUNTIF('入 力 用'!G17,"*Ａ丙*"),"3","0")</f>
        <v>0</v>
      </c>
      <c r="M44" s="129" t="str">
        <f>IF(COUNTIF('入 力 用'!G17,"*Ｂ*"),"4","0")</f>
        <v>0</v>
      </c>
      <c r="N44" s="129" t="str">
        <f>IF(COUNTIF('入 力 用'!G17,"*Ｃ*"),"5","0")</f>
        <v>0</v>
      </c>
      <c r="O44" s="129" t="str">
        <f>IF(COUNTIF('入 力 用'!G17,"*Ｄ*"),"6","0")</f>
        <v>0</v>
      </c>
      <c r="P44" s="129" t="str">
        <f>IF(COUNTIF('入 力 用'!G17,"*五輪*"),"７","0")</f>
        <v>0</v>
      </c>
      <c r="Q44" s="130"/>
      <c r="R44" s="129" t="str">
        <f>IF(COUNTIF('入 力 用'!J17,"*ー*"),"100","0")</f>
        <v>0</v>
      </c>
      <c r="S44" s="129" t="str">
        <f>IF(COUNTIF('入 力 用'!J17,"*○*"),"200","0")</f>
        <v>0</v>
      </c>
      <c r="T44" s="130"/>
      <c r="U44" s="131">
        <f t="shared" si="1"/>
        <v>0</v>
      </c>
      <c r="V44" s="130"/>
      <c r="W44" s="132" t="str">
        <f t="shared" si="2"/>
        <v>無し</v>
      </c>
      <c r="X44" s="128"/>
      <c r="Y44" s="128"/>
      <c r="Z44" s="128" t="s">
        <v>80</v>
      </c>
      <c r="AA44" s="128"/>
      <c r="AB44" s="128">
        <f>COUNTIF($U$42:$U$61,131)</f>
        <v>0</v>
      </c>
      <c r="AC44" s="128"/>
      <c r="AD44" s="128" t="s">
        <v>81</v>
      </c>
      <c r="AE44" s="128"/>
      <c r="AF44" s="128">
        <f>COUNTIF($U$42:$U$61,132)</f>
        <v>0</v>
      </c>
      <c r="AG44" s="128"/>
      <c r="AH44" s="128" t="s">
        <v>82</v>
      </c>
      <c r="AI44" s="128"/>
      <c r="AJ44" s="128">
        <f>COUNTIF($U$42:$U$61,133)</f>
        <v>0</v>
      </c>
      <c r="AK44" s="128"/>
      <c r="AL44" s="128" t="s">
        <v>83</v>
      </c>
      <c r="AM44" s="128"/>
      <c r="AN44" s="128">
        <f>COUNTIF($U$42:$U$61,134)</f>
        <v>0</v>
      </c>
      <c r="AO44" s="128"/>
      <c r="AP44" s="128" t="s">
        <v>84</v>
      </c>
      <c r="AQ44" s="128"/>
      <c r="AR44" s="128">
        <f>COUNTIF($U$42:$U$61,135)</f>
        <v>0</v>
      </c>
      <c r="AS44" s="128"/>
      <c r="AT44" s="128" t="s">
        <v>85</v>
      </c>
      <c r="AU44" s="128"/>
      <c r="AV44" s="128">
        <f>COUNTIF($U$42:$U$61,136)</f>
        <v>0</v>
      </c>
      <c r="AW44" s="128"/>
      <c r="AX44" s="128"/>
    </row>
    <row r="45" spans="1:50" x14ac:dyDescent="0.2">
      <c r="A45" s="128">
        <v>4</v>
      </c>
      <c r="B45" s="129" t="str">
        <f>IF(COUNTIF('入 力 用'!C18,"*特級*"),"1","0")</f>
        <v>0</v>
      </c>
      <c r="C45" s="129" t="str">
        <f>IF(COUNTIF('入 力 用'!C18,"*１級*"),"２0","0")</f>
        <v>0</v>
      </c>
      <c r="D45" s="129" t="str">
        <f>IF(COUNTIF('入 力 用'!C18,"*２級*"),"３0","0")</f>
        <v>0</v>
      </c>
      <c r="E45" s="129" t="str">
        <f>IF(COUNTIF('入 力 用'!C18,"*３級*"),"４0","0")</f>
        <v>0</v>
      </c>
      <c r="F45" s="129" t="str">
        <f>IF(COUNTIF('入 力 用'!C18,"*在学*"),"30","0")</f>
        <v>0</v>
      </c>
      <c r="G45" s="129" t="str">
        <f>IF(COUNTIF('入 力 用'!C18,"*単一等級*"),"５0","0")</f>
        <v>0</v>
      </c>
      <c r="H45" s="129" t="str">
        <f>IF(COUNTIF('入 力 用'!C18,"*五輪*"),"６0","0")</f>
        <v>0</v>
      </c>
      <c r="I45" s="130"/>
      <c r="J45" s="129" t="str">
        <f>IF(COUNTIF('入 力 用'!G18,"*Ａ甲*"),"1","0")</f>
        <v>0</v>
      </c>
      <c r="K45" s="129" t="str">
        <f>IF(COUNTIF('入 力 用'!G18,"*Ａ乙*"),"2","0")</f>
        <v>0</v>
      </c>
      <c r="L45" s="129" t="str">
        <f>IF(COUNTIF('入 力 用'!G18,"*Ａ丙*"),"3","0")</f>
        <v>0</v>
      </c>
      <c r="M45" s="129" t="str">
        <f>IF(COUNTIF('入 力 用'!G18,"*Ｂ*"),"4","0")</f>
        <v>0</v>
      </c>
      <c r="N45" s="129" t="str">
        <f>IF(COUNTIF('入 力 用'!G18,"*Ｃ*"),"5","0")</f>
        <v>0</v>
      </c>
      <c r="O45" s="129" t="str">
        <f>IF(COUNTIF('入 力 用'!G18,"*Ｄ*"),"6","0")</f>
        <v>0</v>
      </c>
      <c r="P45" s="129" t="str">
        <f>IF(COUNTIF('入 力 用'!G18,"*五輪*"),"７","0")</f>
        <v>0</v>
      </c>
      <c r="Q45" s="130"/>
      <c r="R45" s="129" t="str">
        <f>IF(COUNTIF('入 力 用'!J18,"*ー*"),"100","0")</f>
        <v>0</v>
      </c>
      <c r="S45" s="129" t="str">
        <f>IF(COUNTIF('入 力 用'!J18,"*○*"),"200","0")</f>
        <v>0</v>
      </c>
      <c r="T45" s="130"/>
      <c r="U45" s="131">
        <f t="shared" si="1"/>
        <v>0</v>
      </c>
      <c r="V45" s="130"/>
      <c r="W45" s="132" t="str">
        <f t="shared" si="2"/>
        <v>無し</v>
      </c>
      <c r="X45" s="128"/>
      <c r="Y45" s="128"/>
      <c r="Z45" s="128" t="s">
        <v>92</v>
      </c>
      <c r="AA45" s="128"/>
      <c r="AB45" s="128">
        <f>COUNTIF($U$42:$U$61,141)</f>
        <v>0</v>
      </c>
      <c r="AC45" s="128"/>
      <c r="AD45" s="128" t="s">
        <v>87</v>
      </c>
      <c r="AE45" s="128"/>
      <c r="AF45" s="128">
        <f>COUNTIF($U$42:$U$61,232)</f>
        <v>0</v>
      </c>
      <c r="AG45" s="128"/>
      <c r="AH45" s="128"/>
      <c r="AI45" s="128"/>
      <c r="AJ45" s="128"/>
      <c r="AK45" s="128"/>
      <c r="AL45" s="128" t="s">
        <v>89</v>
      </c>
      <c r="AM45" s="128"/>
      <c r="AN45" s="128">
        <f>COUNTIF($U$42:$U$61,234)</f>
        <v>0</v>
      </c>
      <c r="AO45" s="128"/>
      <c r="AP45" s="128"/>
      <c r="AQ45" s="128"/>
      <c r="AR45" s="128"/>
      <c r="AS45" s="128"/>
      <c r="AT45" s="128" t="s">
        <v>91</v>
      </c>
      <c r="AU45" s="128"/>
      <c r="AV45" s="128">
        <f>COUNTIF($U$42:$U$61,236)</f>
        <v>0</v>
      </c>
      <c r="AW45" s="128"/>
      <c r="AX45" s="128"/>
    </row>
    <row r="46" spans="1:50" x14ac:dyDescent="0.2">
      <c r="A46" s="128">
        <v>5</v>
      </c>
      <c r="B46" s="129" t="str">
        <f>IF(COUNTIF('入 力 用'!C19,"*特級*"),"1","0")</f>
        <v>0</v>
      </c>
      <c r="C46" s="129" t="str">
        <f>IF(COUNTIF('入 力 用'!C19,"*１級*"),"２0","0")</f>
        <v>0</v>
      </c>
      <c r="D46" s="129" t="str">
        <f>IF(COUNTIF('入 力 用'!C19,"*２級*"),"３0","0")</f>
        <v>0</v>
      </c>
      <c r="E46" s="129" t="str">
        <f>IF(COUNTIF('入 力 用'!C19,"*３級*"),"４0","0")</f>
        <v>0</v>
      </c>
      <c r="F46" s="129" t="str">
        <f>IF(COUNTIF('入 力 用'!C19,"*在学*"),"30","0")</f>
        <v>0</v>
      </c>
      <c r="G46" s="129" t="str">
        <f>IF(COUNTIF('入 力 用'!C19,"*単一等級*"),"５0","0")</f>
        <v>0</v>
      </c>
      <c r="H46" s="129" t="str">
        <f>IF(COUNTIF('入 力 用'!C19,"*五輪*"),"６0","0")</f>
        <v>0</v>
      </c>
      <c r="I46" s="130"/>
      <c r="J46" s="129" t="str">
        <f>IF(COUNTIF('入 力 用'!G19,"*Ａ甲*"),"1","0")</f>
        <v>0</v>
      </c>
      <c r="K46" s="129" t="str">
        <f>IF(COUNTIF('入 力 用'!G19,"*Ａ乙*"),"2","0")</f>
        <v>0</v>
      </c>
      <c r="L46" s="129" t="str">
        <f>IF(COUNTIF('入 力 用'!G19,"*Ａ丙*"),"3","0")</f>
        <v>0</v>
      </c>
      <c r="M46" s="129" t="str">
        <f>IF(COUNTIF('入 力 用'!G19,"*Ｂ*"),"4","0")</f>
        <v>0</v>
      </c>
      <c r="N46" s="129" t="str">
        <f>IF(COUNTIF('入 力 用'!G19,"*Ｃ*"),"5","0")</f>
        <v>0</v>
      </c>
      <c r="O46" s="129" t="str">
        <f>IF(COUNTIF('入 力 用'!G19,"*Ｄ*"),"6","0")</f>
        <v>0</v>
      </c>
      <c r="P46" s="129" t="str">
        <f>IF(COUNTIF('入 力 用'!G19,"*五輪*"),"７","0")</f>
        <v>0</v>
      </c>
      <c r="Q46" s="130"/>
      <c r="R46" s="129" t="str">
        <f>IF(COUNTIF('入 力 用'!J19,"*ー*"),"100","0")</f>
        <v>0</v>
      </c>
      <c r="S46" s="129" t="str">
        <f>IF(COUNTIF('入 力 用'!J19,"*○*"),"200","0")</f>
        <v>0</v>
      </c>
      <c r="T46" s="130"/>
      <c r="U46" s="131">
        <f t="shared" si="1"/>
        <v>0</v>
      </c>
      <c r="V46" s="130"/>
      <c r="W46" s="132" t="str">
        <f t="shared" si="2"/>
        <v>無し</v>
      </c>
      <c r="X46" s="128"/>
      <c r="Y46" s="128"/>
      <c r="Z46" s="128" t="s">
        <v>116</v>
      </c>
      <c r="AA46" s="128"/>
      <c r="AB46" s="128">
        <f>COUNTIF($U$42:$U$61,151)</f>
        <v>0</v>
      </c>
      <c r="AC46" s="128"/>
      <c r="AD46" s="128" t="s">
        <v>93</v>
      </c>
      <c r="AE46" s="128"/>
      <c r="AF46" s="128">
        <f>COUNTIF($U$42:$U$61,142)</f>
        <v>0</v>
      </c>
      <c r="AG46" s="128"/>
      <c r="AH46" s="128" t="s">
        <v>94</v>
      </c>
      <c r="AI46" s="128"/>
      <c r="AJ46" s="128">
        <f>COUNTIF($U$42:$U$61,143)</f>
        <v>0</v>
      </c>
      <c r="AK46" s="128"/>
      <c r="AL46" s="128" t="s">
        <v>95</v>
      </c>
      <c r="AM46" s="128"/>
      <c r="AN46" s="128">
        <f>COUNTIF($U$42:$U$61,144)</f>
        <v>0</v>
      </c>
      <c r="AO46" s="128"/>
      <c r="AP46" s="128" t="s">
        <v>96</v>
      </c>
      <c r="AQ46" s="128"/>
      <c r="AR46" s="128">
        <f>COUNTIF($U$42:$U$61,145)</f>
        <v>0</v>
      </c>
      <c r="AS46" s="128"/>
      <c r="AT46" s="128" t="s">
        <v>97</v>
      </c>
      <c r="AU46" s="128"/>
      <c r="AV46" s="128">
        <f>COUNTIF($U$42:$U$61,146)</f>
        <v>0</v>
      </c>
      <c r="AW46" s="128"/>
      <c r="AX46" s="128"/>
    </row>
    <row r="47" spans="1:50" x14ac:dyDescent="0.2">
      <c r="A47" s="128">
        <v>6</v>
      </c>
      <c r="B47" s="129" t="str">
        <f>IF(COUNTIF('入 力 用'!C20,"*特級*"),"1","0")</f>
        <v>0</v>
      </c>
      <c r="C47" s="129" t="str">
        <f>IF(COUNTIF('入 力 用'!C20,"*１級*"),"２0","0")</f>
        <v>0</v>
      </c>
      <c r="D47" s="129" t="str">
        <f>IF(COUNTIF('入 力 用'!C20,"*２級*"),"３0","0")</f>
        <v>0</v>
      </c>
      <c r="E47" s="129" t="str">
        <f>IF(COUNTIF('入 力 用'!C20,"*３級*"),"４0","0")</f>
        <v>0</v>
      </c>
      <c r="F47" s="129" t="str">
        <f>IF(COUNTIF('入 力 用'!C20,"*在学*"),"30","0")</f>
        <v>0</v>
      </c>
      <c r="G47" s="129" t="str">
        <f>IF(COUNTIF('入 力 用'!C20,"*単一等級*"),"５0","0")</f>
        <v>0</v>
      </c>
      <c r="H47" s="129" t="str">
        <f>IF(COUNTIF('入 力 用'!C20,"*五輪*"),"６0","0")</f>
        <v>0</v>
      </c>
      <c r="I47" s="130"/>
      <c r="J47" s="129" t="str">
        <f>IF(COUNTIF('入 力 用'!G20,"*Ａ甲*"),"1","0")</f>
        <v>0</v>
      </c>
      <c r="K47" s="129" t="str">
        <f>IF(COUNTIF('入 力 用'!G20,"*Ａ乙*"),"2","0")</f>
        <v>0</v>
      </c>
      <c r="L47" s="129" t="str">
        <f>IF(COUNTIF('入 力 用'!G20,"*Ａ丙*"),"3","0")</f>
        <v>0</v>
      </c>
      <c r="M47" s="129" t="str">
        <f>IF(COUNTIF('入 力 用'!G20,"*Ｂ*"),"4","0")</f>
        <v>0</v>
      </c>
      <c r="N47" s="129" t="str">
        <f>IF(COUNTIF('入 力 用'!G20,"*Ｃ*"),"5","0")</f>
        <v>0</v>
      </c>
      <c r="O47" s="129" t="str">
        <f>IF(COUNTIF('入 力 用'!G20,"*Ｄ*"),"6","0")</f>
        <v>0</v>
      </c>
      <c r="P47" s="129" t="str">
        <f>IF(COUNTIF('入 力 用'!G20,"*五輪*"),"７","0")</f>
        <v>0</v>
      </c>
      <c r="Q47" s="130"/>
      <c r="R47" s="129" t="str">
        <f>IF(COUNTIF('入 力 用'!J20,"*ー*"),"100","0")</f>
        <v>0</v>
      </c>
      <c r="S47" s="129" t="str">
        <f>IF(COUNTIF('入 力 用'!J20,"*○*"),"200","0")</f>
        <v>0</v>
      </c>
      <c r="T47" s="130"/>
      <c r="U47" s="131">
        <f t="shared" si="1"/>
        <v>0</v>
      </c>
      <c r="V47" s="130"/>
      <c r="W47" s="132" t="str">
        <f t="shared" si="2"/>
        <v>無し</v>
      </c>
      <c r="X47" s="128"/>
      <c r="Y47" s="128"/>
      <c r="Z47" s="128"/>
      <c r="AA47" s="128"/>
      <c r="AB47" s="128"/>
      <c r="AC47" s="128"/>
      <c r="AD47" s="128" t="s">
        <v>99</v>
      </c>
      <c r="AE47" s="128"/>
      <c r="AF47" s="128">
        <f>COUNTIF($U$42:$U$61,242)</f>
        <v>0</v>
      </c>
      <c r="AG47" s="128"/>
      <c r="AH47" s="128"/>
      <c r="AI47" s="128"/>
      <c r="AJ47" s="128"/>
      <c r="AK47" s="128"/>
      <c r="AL47" s="128" t="s">
        <v>101</v>
      </c>
      <c r="AM47" s="128"/>
      <c r="AN47" s="128">
        <f>COUNTIF($U$42:$U$61,244)</f>
        <v>0</v>
      </c>
      <c r="AO47" s="128"/>
      <c r="AP47" s="128"/>
      <c r="AQ47" s="128"/>
      <c r="AR47" s="128"/>
      <c r="AS47" s="128"/>
      <c r="AT47" s="128" t="s">
        <v>103</v>
      </c>
      <c r="AU47" s="128"/>
      <c r="AV47" s="128">
        <f>COUNTIF($U$42:$U$61,246)</f>
        <v>0</v>
      </c>
      <c r="AW47" s="128"/>
      <c r="AX47" s="128"/>
    </row>
    <row r="48" spans="1:50" x14ac:dyDescent="0.2">
      <c r="A48" s="128">
        <v>7</v>
      </c>
      <c r="B48" s="129" t="str">
        <f>IF(COUNTIF('入 力 用'!C21,"*特級*"),"1","0")</f>
        <v>0</v>
      </c>
      <c r="C48" s="129" t="str">
        <f>IF(COUNTIF('入 力 用'!C21,"*１級*"),"２0","0")</f>
        <v>0</v>
      </c>
      <c r="D48" s="129" t="str">
        <f>IF(COUNTIF('入 力 用'!C21,"*２級*"),"３0","0")</f>
        <v>0</v>
      </c>
      <c r="E48" s="129" t="str">
        <f>IF(COUNTIF('入 力 用'!C21,"*３級*"),"４0","0")</f>
        <v>0</v>
      </c>
      <c r="F48" s="129" t="str">
        <f>IF(COUNTIF('入 力 用'!C21,"*在学*"),"30","0")</f>
        <v>0</v>
      </c>
      <c r="G48" s="129" t="str">
        <f>IF(COUNTIF('入 力 用'!C21,"*単一等級*"),"５0","0")</f>
        <v>0</v>
      </c>
      <c r="H48" s="129" t="str">
        <f>IF(COUNTIF('入 力 用'!C21,"*五輪*"),"６0","0")</f>
        <v>0</v>
      </c>
      <c r="I48" s="130"/>
      <c r="J48" s="129" t="str">
        <f>IF(COUNTIF('入 力 用'!G21,"*Ａ甲*"),"1","0")</f>
        <v>0</v>
      </c>
      <c r="K48" s="129" t="str">
        <f>IF(COUNTIF('入 力 用'!G21,"*Ａ乙*"),"2","0")</f>
        <v>0</v>
      </c>
      <c r="L48" s="129" t="str">
        <f>IF(COUNTIF('入 力 用'!G21,"*Ａ丙*"),"3","0")</f>
        <v>0</v>
      </c>
      <c r="M48" s="129" t="str">
        <f>IF(COUNTIF('入 力 用'!G21,"*Ｂ*"),"4","0")</f>
        <v>0</v>
      </c>
      <c r="N48" s="129" t="str">
        <f>IF(COUNTIF('入 力 用'!G21,"*Ｃ*"),"5","0")</f>
        <v>0</v>
      </c>
      <c r="O48" s="129" t="str">
        <f>IF(COUNTIF('入 力 用'!G21,"*Ｄ*"),"6","0")</f>
        <v>0</v>
      </c>
      <c r="P48" s="129" t="str">
        <f>IF(COUNTIF('入 力 用'!G21,"*五輪*"),"７","0")</f>
        <v>0</v>
      </c>
      <c r="Q48" s="130"/>
      <c r="R48" s="129" t="str">
        <f>IF(COUNTIF('入 力 用'!J21,"*ー*"),"100","0")</f>
        <v>0</v>
      </c>
      <c r="S48" s="129" t="str">
        <f>IF(COUNTIF('入 力 用'!J21,"*○*"),"200","0")</f>
        <v>0</v>
      </c>
      <c r="T48" s="130"/>
      <c r="U48" s="131">
        <f t="shared" si="1"/>
        <v>0</v>
      </c>
      <c r="V48" s="130"/>
      <c r="W48" s="132" t="str">
        <f t="shared" si="2"/>
        <v>無し</v>
      </c>
      <c r="X48" s="128"/>
      <c r="Y48" s="128"/>
      <c r="Z48" s="128"/>
      <c r="AA48" s="128"/>
      <c r="AB48" s="128"/>
      <c r="AC48" s="128"/>
      <c r="AD48" s="128" t="s">
        <v>117</v>
      </c>
      <c r="AE48" s="128"/>
      <c r="AF48" s="128">
        <f>COUNTIF($U$42:$U$61,152)</f>
        <v>0</v>
      </c>
      <c r="AG48" s="128"/>
      <c r="AH48" s="128" t="s">
        <v>118</v>
      </c>
      <c r="AI48" s="128"/>
      <c r="AJ48" s="128">
        <f>COUNTIF($U$42:$U$61,153)</f>
        <v>0</v>
      </c>
      <c r="AK48" s="128"/>
      <c r="AL48" s="128" t="s">
        <v>119</v>
      </c>
      <c r="AM48" s="128"/>
      <c r="AN48" s="128">
        <f>COUNTIF($U$42:$U$61,154)</f>
        <v>0</v>
      </c>
      <c r="AO48" s="128"/>
      <c r="AP48" s="128" t="s">
        <v>120</v>
      </c>
      <c r="AQ48" s="128"/>
      <c r="AR48" s="128">
        <f>COUNTIF($U$42:$U$61,155)</f>
        <v>0</v>
      </c>
      <c r="AS48" s="128"/>
      <c r="AT48" s="128" t="s">
        <v>121</v>
      </c>
      <c r="AU48" s="128"/>
      <c r="AV48" s="128">
        <f>COUNTIF($U$42:$U$61,156)</f>
        <v>0</v>
      </c>
      <c r="AW48" s="128"/>
      <c r="AX48" s="128"/>
    </row>
    <row r="49" spans="1:50" x14ac:dyDescent="0.2">
      <c r="A49" s="128">
        <v>8</v>
      </c>
      <c r="B49" s="129" t="str">
        <f>IF(COUNTIF('入 力 用'!C22,"*特級*"),"1","0")</f>
        <v>0</v>
      </c>
      <c r="C49" s="129" t="str">
        <f>IF(COUNTIF('入 力 用'!C22,"*１級*"),"２0","0")</f>
        <v>0</v>
      </c>
      <c r="D49" s="129" t="str">
        <f>IF(COUNTIF('入 力 用'!C22,"*２級*"),"３0","0")</f>
        <v>0</v>
      </c>
      <c r="E49" s="129" t="str">
        <f>IF(COUNTIF('入 力 用'!C22,"*３級*"),"４0","0")</f>
        <v>0</v>
      </c>
      <c r="F49" s="129" t="str">
        <f>IF(COUNTIF('入 力 用'!C22,"*在学*"),"30","0")</f>
        <v>0</v>
      </c>
      <c r="G49" s="129" t="str">
        <f>IF(COUNTIF('入 力 用'!C22,"*単一等級*"),"５0","0")</f>
        <v>0</v>
      </c>
      <c r="H49" s="129" t="str">
        <f>IF(COUNTIF('入 力 用'!C22,"*五輪*"),"６0","0")</f>
        <v>0</v>
      </c>
      <c r="I49" s="130"/>
      <c r="J49" s="129" t="str">
        <f>IF(COUNTIF('入 力 用'!G22,"*Ａ甲*"),"1","0")</f>
        <v>0</v>
      </c>
      <c r="K49" s="129" t="str">
        <f>IF(COUNTIF('入 力 用'!G22,"*Ａ乙*"),"2","0")</f>
        <v>0</v>
      </c>
      <c r="L49" s="129" t="str">
        <f>IF(COUNTIF('入 力 用'!G22,"*Ａ丙*"),"3","0")</f>
        <v>0</v>
      </c>
      <c r="M49" s="129" t="str">
        <f>IF(COUNTIF('入 力 用'!G22,"*Ｂ*"),"4","0")</f>
        <v>0</v>
      </c>
      <c r="N49" s="129" t="str">
        <f>IF(COUNTIF('入 力 用'!G22,"*Ｃ*"),"5","0")</f>
        <v>0</v>
      </c>
      <c r="O49" s="129" t="str">
        <f>IF(COUNTIF('入 力 用'!G22,"*Ｄ*"),"6","0")</f>
        <v>0</v>
      </c>
      <c r="P49" s="129" t="str">
        <f>IF(COUNTIF('入 力 用'!G22,"*五輪*"),"７","0")</f>
        <v>0</v>
      </c>
      <c r="Q49" s="130"/>
      <c r="R49" s="129" t="str">
        <f>IF(COUNTIF('入 力 用'!J22,"*ー*"),"100","0")</f>
        <v>0</v>
      </c>
      <c r="S49" s="129" t="str">
        <f>IF(COUNTIF('入 力 用'!J22,"*○*"),"200","0")</f>
        <v>0</v>
      </c>
      <c r="T49" s="130"/>
      <c r="U49" s="131">
        <f t="shared" si="1"/>
        <v>0</v>
      </c>
      <c r="V49" s="130"/>
      <c r="W49" s="132" t="str">
        <f t="shared" si="2"/>
        <v>無し</v>
      </c>
      <c r="X49" s="128"/>
      <c r="Y49" s="128"/>
      <c r="Z49" s="128"/>
      <c r="AA49" s="128"/>
      <c r="AB49" s="128"/>
      <c r="AC49" s="128"/>
      <c r="AD49" s="128" t="s">
        <v>125</v>
      </c>
      <c r="AE49" s="128"/>
      <c r="AF49" s="128">
        <f>COUNTIF($U$42:$U$61,292)</f>
        <v>0</v>
      </c>
      <c r="AG49" s="128"/>
      <c r="AH49" s="128"/>
      <c r="AI49" s="128"/>
      <c r="AJ49" s="128"/>
      <c r="AK49" s="128"/>
      <c r="AL49" s="128" t="s">
        <v>127</v>
      </c>
      <c r="AM49" s="128"/>
      <c r="AN49" s="128">
        <f>COUNTIF($U$42:$U$61,294)</f>
        <v>0</v>
      </c>
      <c r="AO49" s="128"/>
      <c r="AP49" s="128"/>
      <c r="AQ49" s="128"/>
      <c r="AR49" s="128"/>
      <c r="AS49" s="128"/>
      <c r="AT49" s="128" t="s">
        <v>129</v>
      </c>
      <c r="AU49" s="128"/>
      <c r="AV49" s="128">
        <f>COUNTIF($U$42:$U$61,296)</f>
        <v>0</v>
      </c>
      <c r="AW49" s="128"/>
      <c r="AX49" s="128"/>
    </row>
    <row r="50" spans="1:50" x14ac:dyDescent="0.2">
      <c r="A50" s="128">
        <v>9</v>
      </c>
      <c r="B50" s="129" t="str">
        <f>IF(COUNTIF('入 力 用'!C23,"*特級*"),"1","0")</f>
        <v>0</v>
      </c>
      <c r="C50" s="129" t="str">
        <f>IF(COUNTIF('入 力 用'!C23,"*１級*"),"２0","0")</f>
        <v>0</v>
      </c>
      <c r="D50" s="129" t="str">
        <f>IF(COUNTIF('入 力 用'!C23,"*２級*"),"３0","0")</f>
        <v>0</v>
      </c>
      <c r="E50" s="129" t="str">
        <f>IF(COUNTIF('入 力 用'!C23,"*３級*"),"４0","0")</f>
        <v>0</v>
      </c>
      <c r="F50" s="129" t="str">
        <f>IF(COUNTIF('入 力 用'!C23,"*在学*"),"30","0")</f>
        <v>0</v>
      </c>
      <c r="G50" s="129" t="str">
        <f>IF(COUNTIF('入 力 用'!C23,"*単一等級*"),"５0","0")</f>
        <v>0</v>
      </c>
      <c r="H50" s="129" t="str">
        <f>IF(COUNTIF('入 力 用'!C23,"*五輪*"),"６0","0")</f>
        <v>0</v>
      </c>
      <c r="I50" s="130"/>
      <c r="J50" s="129" t="str">
        <f>IF(COUNTIF('入 力 用'!G23,"*Ａ甲*"),"1","0")</f>
        <v>0</v>
      </c>
      <c r="K50" s="129" t="str">
        <f>IF(COUNTIF('入 力 用'!G23,"*Ａ乙*"),"2","0")</f>
        <v>0</v>
      </c>
      <c r="L50" s="129" t="str">
        <f>IF(COUNTIF('入 力 用'!G23,"*Ａ丙*"),"3","0")</f>
        <v>0</v>
      </c>
      <c r="M50" s="129" t="str">
        <f>IF(COUNTIF('入 力 用'!G23,"*Ｂ*"),"4","0")</f>
        <v>0</v>
      </c>
      <c r="N50" s="129" t="str">
        <f>IF(COUNTIF('入 力 用'!G23,"*Ｃ*"),"5","0")</f>
        <v>0</v>
      </c>
      <c r="O50" s="129" t="str">
        <f>IF(COUNTIF('入 力 用'!G23,"*Ｄ*"),"6","0")</f>
        <v>0</v>
      </c>
      <c r="P50" s="129" t="str">
        <f>IF(COUNTIF('入 力 用'!G23,"*五輪*"),"７","0")</f>
        <v>0</v>
      </c>
      <c r="Q50" s="130"/>
      <c r="R50" s="129" t="str">
        <f>IF(COUNTIF('入 力 用'!J23,"*ー*"),"100","0")</f>
        <v>0</v>
      </c>
      <c r="S50" s="129" t="str">
        <f>IF(COUNTIF('入 力 用'!J23,"*○*"),"200","0")</f>
        <v>0</v>
      </c>
      <c r="T50" s="130"/>
      <c r="U50" s="131">
        <f t="shared" si="1"/>
        <v>0</v>
      </c>
      <c r="V50" s="130"/>
      <c r="W50" s="132" t="str">
        <f t="shared" si="2"/>
        <v>無し</v>
      </c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</row>
    <row r="51" spans="1:50" x14ac:dyDescent="0.2">
      <c r="A51" s="128">
        <v>10</v>
      </c>
      <c r="B51" s="129" t="str">
        <f>IF(COUNTIF('入 力 用'!C24,"*特級*"),"1","0")</f>
        <v>0</v>
      </c>
      <c r="C51" s="129" t="str">
        <f>IF(COUNTIF('入 力 用'!C24,"*１級*"),"２0","0")</f>
        <v>0</v>
      </c>
      <c r="D51" s="129" t="str">
        <f>IF(COUNTIF('入 力 用'!C24,"*２級*"),"３0","0")</f>
        <v>0</v>
      </c>
      <c r="E51" s="129" t="str">
        <f>IF(COUNTIF('入 力 用'!C24,"*３級*"),"４0","0")</f>
        <v>0</v>
      </c>
      <c r="F51" s="129" t="str">
        <f>IF(COUNTIF('入 力 用'!C24,"*在学*"),"30","0")</f>
        <v>0</v>
      </c>
      <c r="G51" s="129" t="str">
        <f>IF(COUNTIF('入 力 用'!C24,"*単一等級*"),"５0","0")</f>
        <v>0</v>
      </c>
      <c r="H51" s="129" t="str">
        <f>IF(COUNTIF('入 力 用'!C24,"*五輪*"),"６0","0")</f>
        <v>0</v>
      </c>
      <c r="I51" s="130"/>
      <c r="J51" s="129" t="str">
        <f>IF(COUNTIF('入 力 用'!G24,"*Ａ甲*"),"1","0")</f>
        <v>0</v>
      </c>
      <c r="K51" s="129" t="str">
        <f>IF(COUNTIF('入 力 用'!G24,"*Ａ乙*"),"2","0")</f>
        <v>0</v>
      </c>
      <c r="L51" s="129" t="str">
        <f>IF(COUNTIF('入 力 用'!G24,"*Ａ丙*"),"3","0")</f>
        <v>0</v>
      </c>
      <c r="M51" s="129" t="str">
        <f>IF(COUNTIF('入 力 用'!G24,"*Ｂ*"),"4","0")</f>
        <v>0</v>
      </c>
      <c r="N51" s="129" t="str">
        <f>IF(COUNTIF('入 力 用'!G24,"*Ｃ*"),"5","0")</f>
        <v>0</v>
      </c>
      <c r="O51" s="129" t="str">
        <f>IF(COUNTIF('入 力 用'!G24,"*Ｄ*"),"6","0")</f>
        <v>0</v>
      </c>
      <c r="P51" s="129" t="str">
        <f>IF(COUNTIF('入 力 用'!G24,"*五輪*"),"７","0")</f>
        <v>0</v>
      </c>
      <c r="Q51" s="130"/>
      <c r="R51" s="129" t="str">
        <f>IF(COUNTIF('入 力 用'!J24,"*ー*"),"100","0")</f>
        <v>0</v>
      </c>
      <c r="S51" s="129" t="str">
        <f>IF(COUNTIF('入 力 用'!J24,"*○*"),"200","0")</f>
        <v>0</v>
      </c>
      <c r="T51" s="130"/>
      <c r="U51" s="131">
        <f t="shared" si="1"/>
        <v>0</v>
      </c>
      <c r="V51" s="130"/>
      <c r="W51" s="132" t="str">
        <f t="shared" si="2"/>
        <v>無し</v>
      </c>
      <c r="X51" s="128"/>
      <c r="Y51" s="128"/>
      <c r="Z51" s="128" t="s">
        <v>86</v>
      </c>
      <c r="AA51" s="128"/>
      <c r="AB51" s="128">
        <f>COUNTIF($U$42:$U$61,231)</f>
        <v>0</v>
      </c>
      <c r="AC51" s="128"/>
      <c r="AD51" s="128"/>
      <c r="AE51" s="128"/>
      <c r="AF51" s="128"/>
      <c r="AG51" s="128"/>
      <c r="AH51" s="128" t="s">
        <v>88</v>
      </c>
      <c r="AI51" s="128"/>
      <c r="AJ51" s="128">
        <f>COUNTIF($U$42:$U$61,233)</f>
        <v>0</v>
      </c>
      <c r="AK51" s="128"/>
      <c r="AL51" s="128"/>
      <c r="AM51" s="128"/>
      <c r="AN51" s="128"/>
      <c r="AO51" s="128"/>
      <c r="AP51" s="128" t="s">
        <v>90</v>
      </c>
      <c r="AQ51" s="128"/>
      <c r="AR51" s="128">
        <f>COUNTIF($U$42:$U$61,235)</f>
        <v>0</v>
      </c>
      <c r="AS51" s="128"/>
      <c r="AT51" s="128"/>
      <c r="AU51" s="128"/>
      <c r="AV51" s="128"/>
      <c r="AW51" s="128"/>
      <c r="AX51" s="128"/>
    </row>
    <row r="52" spans="1:50" x14ac:dyDescent="0.2">
      <c r="A52" s="128">
        <v>11</v>
      </c>
      <c r="B52" s="129" t="str">
        <f>IF(COUNTIF('入 力 用'!C25,"*特級*"),"1","0")</f>
        <v>0</v>
      </c>
      <c r="C52" s="129" t="str">
        <f>IF(COUNTIF('入 力 用'!C25,"*１級*"),"２0","0")</f>
        <v>0</v>
      </c>
      <c r="D52" s="129" t="str">
        <f>IF(COUNTIF('入 力 用'!C25,"*２級*"),"３0","0")</f>
        <v>0</v>
      </c>
      <c r="E52" s="129" t="str">
        <f>IF(COUNTIF('入 力 用'!C25,"*３級*"),"４0","0")</f>
        <v>0</v>
      </c>
      <c r="F52" s="129" t="str">
        <f>IF(COUNTIF('入 力 用'!C25,"*在学*"),"30","0")</f>
        <v>0</v>
      </c>
      <c r="G52" s="129" t="str">
        <f>IF(COUNTIF('入 力 用'!C25,"*単一等級*"),"５0","0")</f>
        <v>0</v>
      </c>
      <c r="H52" s="129" t="str">
        <f>IF(COUNTIF('入 力 用'!C25,"*五輪*"),"６0","0")</f>
        <v>0</v>
      </c>
      <c r="I52" s="130"/>
      <c r="J52" s="129" t="str">
        <f>IF(COUNTIF('入 力 用'!G25,"*Ａ甲*"),"1","0")</f>
        <v>0</v>
      </c>
      <c r="K52" s="129" t="str">
        <f>IF(COUNTIF('入 力 用'!G25,"*Ａ乙*"),"2","0")</f>
        <v>0</v>
      </c>
      <c r="L52" s="129" t="str">
        <f>IF(COUNTIF('入 力 用'!G25,"*Ａ丙*"),"3","0")</f>
        <v>0</v>
      </c>
      <c r="M52" s="129" t="str">
        <f>IF(COUNTIF('入 力 用'!G25,"*Ｂ*"),"4","0")</f>
        <v>0</v>
      </c>
      <c r="N52" s="129" t="str">
        <f>IF(COUNTIF('入 力 用'!G25,"*Ｃ*"),"5","0")</f>
        <v>0</v>
      </c>
      <c r="O52" s="129" t="str">
        <f>IF(COUNTIF('入 力 用'!G25,"*Ｄ*"),"6","0")</f>
        <v>0</v>
      </c>
      <c r="P52" s="129" t="str">
        <f>IF(COUNTIF('入 力 用'!G25,"*五輪*"),"７","0")</f>
        <v>0</v>
      </c>
      <c r="Q52" s="130"/>
      <c r="R52" s="129" t="str">
        <f>IF(COUNTIF('入 力 用'!J25,"*ー*"),"100","0")</f>
        <v>0</v>
      </c>
      <c r="S52" s="129" t="str">
        <f>IF(COUNTIF('入 力 用'!J25,"*○*"),"200","0")</f>
        <v>0</v>
      </c>
      <c r="T52" s="130"/>
      <c r="U52" s="131">
        <f t="shared" si="1"/>
        <v>0</v>
      </c>
      <c r="V52" s="130"/>
      <c r="W52" s="132" t="str">
        <f t="shared" si="2"/>
        <v>無し</v>
      </c>
      <c r="X52" s="128"/>
      <c r="Y52" s="128"/>
      <c r="Z52" s="128" t="s">
        <v>98</v>
      </c>
      <c r="AA52" s="128"/>
      <c r="AB52" s="128">
        <f>COUNTIF($U$42:$U$61,241)</f>
        <v>0</v>
      </c>
      <c r="AC52" s="128"/>
      <c r="AD52" s="128"/>
      <c r="AE52" s="128"/>
      <c r="AF52" s="128"/>
      <c r="AG52" s="128"/>
      <c r="AH52" s="128" t="s">
        <v>100</v>
      </c>
      <c r="AI52" s="128"/>
      <c r="AJ52" s="128">
        <f>COUNTIF($U$42:$U$61,243)</f>
        <v>0</v>
      </c>
      <c r="AK52" s="128"/>
      <c r="AL52" s="128"/>
      <c r="AM52" s="128"/>
      <c r="AN52" s="128"/>
      <c r="AO52" s="128"/>
      <c r="AP52" s="128" t="s">
        <v>102</v>
      </c>
      <c r="AQ52" s="128"/>
      <c r="AR52" s="128">
        <f>COUNTIF($U$42:$U$61,245)</f>
        <v>0</v>
      </c>
      <c r="AS52" s="128"/>
      <c r="AT52" s="128"/>
      <c r="AU52" s="128"/>
      <c r="AV52" s="128"/>
      <c r="AW52" s="128"/>
      <c r="AX52" s="128"/>
    </row>
    <row r="53" spans="1:50" x14ac:dyDescent="0.2">
      <c r="A53" s="128">
        <v>12</v>
      </c>
      <c r="B53" s="129" t="str">
        <f>IF(COUNTIF('入 力 用'!C26,"*特級*"),"1","0")</f>
        <v>0</v>
      </c>
      <c r="C53" s="129" t="str">
        <f>IF(COUNTIF('入 力 用'!C26,"*１級*"),"２0","0")</f>
        <v>0</v>
      </c>
      <c r="D53" s="129" t="str">
        <f>IF(COUNTIF('入 力 用'!C26,"*２級*"),"３0","0")</f>
        <v>0</v>
      </c>
      <c r="E53" s="129" t="str">
        <f>IF(COUNTIF('入 力 用'!C26,"*３級*"),"４0","0")</f>
        <v>0</v>
      </c>
      <c r="F53" s="129" t="str">
        <f>IF(COUNTIF('入 力 用'!C26,"*在学*"),"30","0")</f>
        <v>0</v>
      </c>
      <c r="G53" s="129" t="str">
        <f>IF(COUNTIF('入 力 用'!C26,"*単一等級*"),"５0","0")</f>
        <v>0</v>
      </c>
      <c r="H53" s="129" t="str">
        <f>IF(COUNTIF('入 力 用'!C26,"*五輪*"),"６0","0")</f>
        <v>0</v>
      </c>
      <c r="I53" s="130"/>
      <c r="J53" s="129" t="str">
        <f>IF(COUNTIF('入 力 用'!G26,"*Ａ甲*"),"1","0")</f>
        <v>0</v>
      </c>
      <c r="K53" s="129" t="str">
        <f>IF(COUNTIF('入 力 用'!G26,"*Ａ乙*"),"2","0")</f>
        <v>0</v>
      </c>
      <c r="L53" s="129" t="str">
        <f>IF(COUNTIF('入 力 用'!G26,"*Ａ丙*"),"3","0")</f>
        <v>0</v>
      </c>
      <c r="M53" s="129" t="str">
        <f>IF(COUNTIF('入 力 用'!G26,"*Ｂ*"),"4","0")</f>
        <v>0</v>
      </c>
      <c r="N53" s="129" t="str">
        <f>IF(COUNTIF('入 力 用'!G26,"*Ｃ*"),"5","0")</f>
        <v>0</v>
      </c>
      <c r="O53" s="129" t="str">
        <f>IF(COUNTIF('入 力 用'!G26,"*Ｄ*"),"6","0")</f>
        <v>0</v>
      </c>
      <c r="P53" s="129" t="str">
        <f>IF(COUNTIF('入 力 用'!G26,"*五輪*"),"７","0")</f>
        <v>0</v>
      </c>
      <c r="Q53" s="130"/>
      <c r="R53" s="129" t="str">
        <f>IF(COUNTIF('入 力 用'!J26,"*ー*"),"100","0")</f>
        <v>0</v>
      </c>
      <c r="S53" s="129" t="str">
        <f>IF(COUNTIF('入 力 用'!J26,"*○*"),"200","0")</f>
        <v>0</v>
      </c>
      <c r="T53" s="130"/>
      <c r="U53" s="131">
        <f t="shared" si="1"/>
        <v>0</v>
      </c>
      <c r="V53" s="130"/>
      <c r="W53" s="132" t="str">
        <f t="shared" si="2"/>
        <v>無し</v>
      </c>
      <c r="X53" s="128"/>
      <c r="Y53" s="128"/>
      <c r="Z53" s="128" t="s">
        <v>124</v>
      </c>
      <c r="AA53" s="128"/>
      <c r="AB53" s="128">
        <f>COUNTIF($U$42:$U$61,291)</f>
        <v>0</v>
      </c>
      <c r="AC53" s="128"/>
      <c r="AD53" s="128"/>
      <c r="AE53" s="128"/>
      <c r="AF53" s="128"/>
      <c r="AG53" s="128"/>
      <c r="AH53" s="128" t="s">
        <v>126</v>
      </c>
      <c r="AI53" s="128"/>
      <c r="AJ53" s="128">
        <f>COUNTIF($U$42:$U$61,293)</f>
        <v>0</v>
      </c>
      <c r="AK53" s="128"/>
      <c r="AL53" s="128"/>
      <c r="AM53" s="128"/>
      <c r="AN53" s="128"/>
      <c r="AO53" s="128"/>
      <c r="AP53" s="128" t="s">
        <v>128</v>
      </c>
      <c r="AQ53" s="128"/>
      <c r="AR53" s="128">
        <f>COUNTIF($U$42:$U$61,295)</f>
        <v>0</v>
      </c>
      <c r="AS53" s="128"/>
      <c r="AT53" s="128"/>
      <c r="AU53" s="128"/>
      <c r="AV53" s="128"/>
      <c r="AW53" s="128"/>
      <c r="AX53" s="128"/>
    </row>
    <row r="54" spans="1:50" x14ac:dyDescent="0.2">
      <c r="A54" s="128">
        <v>13</v>
      </c>
      <c r="B54" s="129" t="str">
        <f>IF(COUNTIF('入 力 用'!C27,"*特級*"),"1","0")</f>
        <v>0</v>
      </c>
      <c r="C54" s="129" t="str">
        <f>IF(COUNTIF('入 力 用'!C27,"*１級*"),"２0","0")</f>
        <v>0</v>
      </c>
      <c r="D54" s="129" t="str">
        <f>IF(COUNTIF('入 力 用'!C27,"*２級*"),"３0","0")</f>
        <v>0</v>
      </c>
      <c r="E54" s="129" t="str">
        <f>IF(COUNTIF('入 力 用'!C27,"*３級*"),"４0","0")</f>
        <v>0</v>
      </c>
      <c r="F54" s="129" t="str">
        <f>IF(COUNTIF('入 力 用'!C27,"*在学*"),"30","0")</f>
        <v>0</v>
      </c>
      <c r="G54" s="129" t="str">
        <f>IF(COUNTIF('入 力 用'!C27,"*単一等級*"),"５0","0")</f>
        <v>0</v>
      </c>
      <c r="H54" s="129" t="str">
        <f>IF(COUNTIF('入 力 用'!C27,"*五輪*"),"６0","0")</f>
        <v>0</v>
      </c>
      <c r="I54" s="130"/>
      <c r="J54" s="129" t="str">
        <f>IF(COUNTIF('入 力 用'!G27,"*Ａ甲*"),"1","0")</f>
        <v>0</v>
      </c>
      <c r="K54" s="129" t="str">
        <f>IF(COUNTIF('入 力 用'!G27,"*Ａ乙*"),"2","0")</f>
        <v>0</v>
      </c>
      <c r="L54" s="129" t="str">
        <f>IF(COUNTIF('入 力 用'!G27,"*Ａ丙*"),"3","0")</f>
        <v>0</v>
      </c>
      <c r="M54" s="129" t="str">
        <f>IF(COUNTIF('入 力 用'!G27,"*Ｂ*"),"4","0")</f>
        <v>0</v>
      </c>
      <c r="N54" s="129" t="str">
        <f>IF(COUNTIF('入 力 用'!G27,"*Ｃ*"),"5","0")</f>
        <v>0</v>
      </c>
      <c r="O54" s="129" t="str">
        <f>IF(COUNTIF('入 力 用'!G27,"*Ｄ*"),"6","0")</f>
        <v>0</v>
      </c>
      <c r="P54" s="129" t="str">
        <f>IF(COUNTIF('入 力 用'!G27,"*五輪*"),"７","0")</f>
        <v>0</v>
      </c>
      <c r="Q54" s="130"/>
      <c r="R54" s="129" t="str">
        <f>IF(COUNTIF('入 力 用'!J27,"*ー*"),"100","0")</f>
        <v>0</v>
      </c>
      <c r="S54" s="129" t="str">
        <f>IF(COUNTIF('入 力 用'!J27,"*○*"),"200","0")</f>
        <v>0</v>
      </c>
      <c r="T54" s="130"/>
      <c r="U54" s="131">
        <f t="shared" si="1"/>
        <v>0</v>
      </c>
      <c r="V54" s="130"/>
      <c r="W54" s="132" t="str">
        <f t="shared" si="2"/>
        <v>無し</v>
      </c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</row>
    <row r="55" spans="1:50" x14ac:dyDescent="0.2">
      <c r="A55" s="128">
        <v>14</v>
      </c>
      <c r="B55" s="129" t="str">
        <f>IF(COUNTIF('入 力 用'!C28,"*特級*"),"1","0")</f>
        <v>0</v>
      </c>
      <c r="C55" s="129" t="str">
        <f>IF(COUNTIF('入 力 用'!C28,"*１級*"),"２0","0")</f>
        <v>0</v>
      </c>
      <c r="D55" s="129" t="str">
        <f>IF(COUNTIF('入 力 用'!C28,"*２級*"),"３0","0")</f>
        <v>0</v>
      </c>
      <c r="E55" s="129" t="str">
        <f>IF(COUNTIF('入 力 用'!C28,"*３級*"),"４0","0")</f>
        <v>0</v>
      </c>
      <c r="F55" s="129" t="str">
        <f>IF(COUNTIF('入 力 用'!C28,"*在学*"),"30","0")</f>
        <v>0</v>
      </c>
      <c r="G55" s="129" t="str">
        <f>IF(COUNTIF('入 力 用'!C28,"*単一等級*"),"５0","0")</f>
        <v>0</v>
      </c>
      <c r="H55" s="129" t="str">
        <f>IF(COUNTIF('入 力 用'!C28,"*五輪*"),"６0","0")</f>
        <v>0</v>
      </c>
      <c r="I55" s="130"/>
      <c r="J55" s="129" t="str">
        <f>IF(COUNTIF('入 力 用'!G28,"*Ａ甲*"),"1","0")</f>
        <v>0</v>
      </c>
      <c r="K55" s="129" t="str">
        <f>IF(COUNTIF('入 力 用'!G28,"*Ａ乙*"),"2","0")</f>
        <v>0</v>
      </c>
      <c r="L55" s="129" t="str">
        <f>IF(COUNTIF('入 力 用'!G28,"*Ａ丙*"),"3","0")</f>
        <v>0</v>
      </c>
      <c r="M55" s="129" t="str">
        <f>IF(COUNTIF('入 力 用'!G28,"*Ｂ*"),"4","0")</f>
        <v>0</v>
      </c>
      <c r="N55" s="129" t="str">
        <f>IF(COUNTIF('入 力 用'!G28,"*Ｃ*"),"5","0")</f>
        <v>0</v>
      </c>
      <c r="O55" s="129" t="str">
        <f>IF(COUNTIF('入 力 用'!G28,"*Ｄ*"),"6","0")</f>
        <v>0</v>
      </c>
      <c r="P55" s="129" t="str">
        <f>IF(COUNTIF('入 力 用'!G28,"*五輪*"),"７","0")</f>
        <v>0</v>
      </c>
      <c r="Q55" s="130"/>
      <c r="R55" s="129" t="str">
        <f>IF(COUNTIF('入 力 用'!J28,"*ー*"),"100","0")</f>
        <v>0</v>
      </c>
      <c r="S55" s="129" t="str">
        <f>IF(COUNTIF('入 力 用'!J28,"*○*"),"200","0")</f>
        <v>0</v>
      </c>
      <c r="T55" s="130"/>
      <c r="U55" s="131">
        <f t="shared" si="1"/>
        <v>0</v>
      </c>
      <c r="V55" s="130"/>
      <c r="W55" s="132" t="str">
        <f t="shared" si="2"/>
        <v>無し</v>
      </c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</row>
    <row r="56" spans="1:50" x14ac:dyDescent="0.2">
      <c r="A56" s="128">
        <v>15</v>
      </c>
      <c r="B56" s="129" t="str">
        <f>IF(COUNTIF('入 力 用'!C29,"*特級*"),"1","0")</f>
        <v>0</v>
      </c>
      <c r="C56" s="129" t="str">
        <f>IF(COUNTIF('入 力 用'!C29,"*１級*"),"２0","0")</f>
        <v>0</v>
      </c>
      <c r="D56" s="129" t="str">
        <f>IF(COUNTIF('入 力 用'!C29,"*２級*"),"３0","0")</f>
        <v>0</v>
      </c>
      <c r="E56" s="129" t="str">
        <f>IF(COUNTIF('入 力 用'!C29,"*３級*"),"４0","0")</f>
        <v>0</v>
      </c>
      <c r="F56" s="129" t="str">
        <f>IF(COUNTIF('入 力 用'!C29,"*在学*"),"30","0")</f>
        <v>0</v>
      </c>
      <c r="G56" s="129" t="str">
        <f>IF(COUNTIF('入 力 用'!C29,"*単一等級*"),"５0","0")</f>
        <v>0</v>
      </c>
      <c r="H56" s="129" t="str">
        <f>IF(COUNTIF('入 力 用'!C29,"*五輪*"),"６0","0")</f>
        <v>0</v>
      </c>
      <c r="I56" s="130"/>
      <c r="J56" s="129" t="str">
        <f>IF(COUNTIF('入 力 用'!G29,"*Ａ甲*"),"1","0")</f>
        <v>0</v>
      </c>
      <c r="K56" s="129" t="str">
        <f>IF(COUNTIF('入 力 用'!G29,"*Ａ乙*"),"2","0")</f>
        <v>0</v>
      </c>
      <c r="L56" s="129" t="str">
        <f>IF(COUNTIF('入 力 用'!G29,"*Ａ丙*"),"3","0")</f>
        <v>0</v>
      </c>
      <c r="M56" s="129" t="str">
        <f>IF(COUNTIF('入 力 用'!G29,"*Ｂ*"),"4","0")</f>
        <v>0</v>
      </c>
      <c r="N56" s="129" t="str">
        <f>IF(COUNTIF('入 力 用'!G29,"*Ｃ*"),"5","0")</f>
        <v>0</v>
      </c>
      <c r="O56" s="129" t="str">
        <f>IF(COUNTIF('入 力 用'!G29,"*Ｄ*"),"6","0")</f>
        <v>0</v>
      </c>
      <c r="P56" s="129" t="str">
        <f>IF(COUNTIF('入 力 用'!G29,"*五輪*"),"７","0")</f>
        <v>0</v>
      </c>
      <c r="Q56" s="130"/>
      <c r="R56" s="129" t="str">
        <f>IF(COUNTIF('入 力 用'!J29,"*ー*"),"100","0")</f>
        <v>0</v>
      </c>
      <c r="S56" s="129" t="str">
        <f>IF(COUNTIF('入 力 用'!J29,"*○*"),"200","0")</f>
        <v>0</v>
      </c>
      <c r="T56" s="130"/>
      <c r="U56" s="131">
        <f t="shared" si="1"/>
        <v>0</v>
      </c>
      <c r="V56" s="130"/>
      <c r="W56" s="132" t="str">
        <f t="shared" si="2"/>
        <v>無し</v>
      </c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</row>
    <row r="57" spans="1:50" x14ac:dyDescent="0.2">
      <c r="A57" s="128">
        <v>16</v>
      </c>
      <c r="B57" s="129" t="str">
        <f>IF(COUNTIF('入 力 用'!C30,"*特級*"),"1","0")</f>
        <v>0</v>
      </c>
      <c r="C57" s="129" t="str">
        <f>IF(COUNTIF('入 力 用'!C30,"*１級*"),"２0","0")</f>
        <v>0</v>
      </c>
      <c r="D57" s="129" t="str">
        <f>IF(COUNTIF('入 力 用'!C30,"*２級*"),"３0","0")</f>
        <v>0</v>
      </c>
      <c r="E57" s="129" t="str">
        <f>IF(COUNTIF('入 力 用'!C30,"*３級*"),"４0","0")</f>
        <v>0</v>
      </c>
      <c r="F57" s="129" t="str">
        <f>IF(COUNTIF('入 力 用'!C30,"*在学*"),"30","0")</f>
        <v>0</v>
      </c>
      <c r="G57" s="129" t="str">
        <f>IF(COUNTIF('入 力 用'!C30,"*単一等級*"),"５0","0")</f>
        <v>0</v>
      </c>
      <c r="H57" s="129" t="str">
        <f>IF(COUNTIF('入 力 用'!C30,"*五輪*"),"６0","0")</f>
        <v>0</v>
      </c>
      <c r="I57" s="130"/>
      <c r="J57" s="129" t="str">
        <f>IF(COUNTIF('入 力 用'!G30,"*Ａ甲*"),"1","0")</f>
        <v>0</v>
      </c>
      <c r="K57" s="129" t="str">
        <f>IF(COUNTIF('入 力 用'!G30,"*Ａ乙*"),"2","0")</f>
        <v>0</v>
      </c>
      <c r="L57" s="129" t="str">
        <f>IF(COUNTIF('入 力 用'!G30,"*Ａ丙*"),"3","0")</f>
        <v>0</v>
      </c>
      <c r="M57" s="129" t="str">
        <f>IF(COUNTIF('入 力 用'!G30,"*Ｂ*"),"4","0")</f>
        <v>0</v>
      </c>
      <c r="N57" s="129" t="str">
        <f>IF(COUNTIF('入 力 用'!G30,"*Ｃ*"),"5","0")</f>
        <v>0</v>
      </c>
      <c r="O57" s="129" t="str">
        <f>IF(COUNTIF('入 力 用'!G30,"*Ｄ*"),"6","0")</f>
        <v>0</v>
      </c>
      <c r="P57" s="129" t="str">
        <f>IF(COUNTIF('入 力 用'!G30,"*五輪*"),"７","0")</f>
        <v>0</v>
      </c>
      <c r="Q57" s="130"/>
      <c r="R57" s="129" t="str">
        <f>IF(COUNTIF('入 力 用'!J30,"*ー*"),"100","0")</f>
        <v>0</v>
      </c>
      <c r="S57" s="129" t="str">
        <f>IF(COUNTIF('入 力 用'!J30,"*○*"),"200","0")</f>
        <v>0</v>
      </c>
      <c r="T57" s="130"/>
      <c r="U57" s="131">
        <f t="shared" si="1"/>
        <v>0</v>
      </c>
      <c r="V57" s="130"/>
      <c r="W57" s="132" t="str">
        <f t="shared" si="2"/>
        <v>無し</v>
      </c>
      <c r="X57" s="128"/>
      <c r="Y57" s="128"/>
      <c r="Z57" s="128" t="s">
        <v>104</v>
      </c>
      <c r="AA57" s="128"/>
      <c r="AB57" s="128">
        <f>COUNTIF($U$42:$U$61,171)</f>
        <v>0</v>
      </c>
      <c r="AC57" s="128"/>
      <c r="AD57" s="128" t="s">
        <v>105</v>
      </c>
      <c r="AE57" s="128"/>
      <c r="AF57" s="128">
        <f>COUNTIF($U$42:$U$61,172)</f>
        <v>0</v>
      </c>
      <c r="AG57" s="128"/>
      <c r="AH57" s="128" t="s">
        <v>106</v>
      </c>
      <c r="AI57" s="128"/>
      <c r="AJ57" s="128">
        <f>COUNTIF($U$42:$U$61,173)</f>
        <v>0</v>
      </c>
      <c r="AK57" s="128"/>
      <c r="AL57" s="128" t="s">
        <v>107</v>
      </c>
      <c r="AM57" s="128"/>
      <c r="AN57" s="128">
        <f>COUNTIF($U$42:$U$61,174)</f>
        <v>0</v>
      </c>
      <c r="AO57" s="128"/>
      <c r="AP57" s="128" t="s">
        <v>108</v>
      </c>
      <c r="AQ57" s="128"/>
      <c r="AR57" s="128">
        <f>COUNTIF($U$42:$U$61,175)</f>
        <v>0</v>
      </c>
      <c r="AS57" s="128"/>
      <c r="AT57" s="128" t="s">
        <v>109</v>
      </c>
      <c r="AU57" s="128"/>
      <c r="AV57" s="128">
        <f>COUNTIF($U$42:$U$61,176)</f>
        <v>0</v>
      </c>
      <c r="AW57" s="128"/>
      <c r="AX57" s="128"/>
    </row>
    <row r="58" spans="1:50" x14ac:dyDescent="0.2">
      <c r="A58" s="128">
        <v>17</v>
      </c>
      <c r="B58" s="129" t="str">
        <f>IF(COUNTIF('入 力 用'!C31,"*特級*"),"1","0")</f>
        <v>0</v>
      </c>
      <c r="C58" s="129" t="str">
        <f>IF(COUNTIF('入 力 用'!C31,"*１級*"),"２0","0")</f>
        <v>0</v>
      </c>
      <c r="D58" s="129" t="str">
        <f>IF(COUNTIF('入 力 用'!C31,"*２級*"),"３0","0")</f>
        <v>0</v>
      </c>
      <c r="E58" s="129" t="str">
        <f>IF(COUNTIF('入 力 用'!C31,"*３級*"),"４0","0")</f>
        <v>0</v>
      </c>
      <c r="F58" s="129" t="str">
        <f>IF(COUNTIF('入 力 用'!C31,"*在学*"),"30","0")</f>
        <v>0</v>
      </c>
      <c r="G58" s="129" t="str">
        <f>IF(COUNTIF('入 力 用'!C31,"*単一等級*"),"５0","0")</f>
        <v>0</v>
      </c>
      <c r="H58" s="129" t="str">
        <f>IF(COUNTIF('入 力 用'!C31,"*五輪*"),"６0","0")</f>
        <v>0</v>
      </c>
      <c r="I58" s="130"/>
      <c r="J58" s="129" t="str">
        <f>IF(COUNTIF('入 力 用'!G31,"*Ａ甲*"),"1","0")</f>
        <v>0</v>
      </c>
      <c r="K58" s="129" t="str">
        <f>IF(COUNTIF('入 力 用'!G31,"*Ａ乙*"),"2","0")</f>
        <v>0</v>
      </c>
      <c r="L58" s="129" t="str">
        <f>IF(COUNTIF('入 力 用'!G31,"*Ａ丙*"),"3","0")</f>
        <v>0</v>
      </c>
      <c r="M58" s="129" t="str">
        <f>IF(COUNTIF('入 力 用'!G31,"*Ｂ*"),"4","0")</f>
        <v>0</v>
      </c>
      <c r="N58" s="129" t="str">
        <f>IF(COUNTIF('入 力 用'!G31,"*Ｃ*"),"5","0")</f>
        <v>0</v>
      </c>
      <c r="O58" s="129" t="str">
        <f>IF(COUNTIF('入 力 用'!G31,"*Ｄ*"),"6","0")</f>
        <v>0</v>
      </c>
      <c r="P58" s="129" t="str">
        <f>IF(COUNTIF('入 力 用'!G31,"*五輪*"),"７","0")</f>
        <v>0</v>
      </c>
      <c r="Q58" s="130"/>
      <c r="R58" s="129" t="str">
        <f>IF(COUNTIF('入 力 用'!J31,"*ー*"),"100","0")</f>
        <v>0</v>
      </c>
      <c r="S58" s="129" t="str">
        <f>IF(COUNTIF('入 力 用'!J31,"*○*"),"200","0")</f>
        <v>0</v>
      </c>
      <c r="T58" s="130"/>
      <c r="U58" s="131">
        <f t="shared" si="1"/>
        <v>0</v>
      </c>
      <c r="V58" s="130"/>
      <c r="W58" s="132" t="str">
        <f t="shared" si="2"/>
        <v>無し</v>
      </c>
      <c r="X58" s="128"/>
      <c r="Y58" s="128"/>
      <c r="Z58" s="128"/>
      <c r="AA58" s="128"/>
      <c r="AB58" s="128"/>
      <c r="AC58" s="128"/>
      <c r="AD58" s="128" t="s">
        <v>111</v>
      </c>
      <c r="AE58" s="128"/>
      <c r="AF58" s="128">
        <f>COUNTIF($U$42:$U$61,272)</f>
        <v>0</v>
      </c>
      <c r="AG58" s="128"/>
      <c r="AH58" s="128"/>
      <c r="AI58" s="128"/>
      <c r="AJ58" s="128"/>
      <c r="AK58" s="128"/>
      <c r="AL58" s="128" t="s">
        <v>113</v>
      </c>
      <c r="AM58" s="128"/>
      <c r="AN58" s="128">
        <f>COUNTIF($U$42:$U$61,274)</f>
        <v>0</v>
      </c>
      <c r="AO58" s="128"/>
      <c r="AP58" s="128"/>
      <c r="AQ58" s="128"/>
      <c r="AR58" s="128"/>
      <c r="AS58" s="128"/>
      <c r="AT58" s="128" t="s">
        <v>115</v>
      </c>
      <c r="AU58" s="128"/>
      <c r="AV58" s="128">
        <f>COUNTIF($U$42:$U$61,276)</f>
        <v>0</v>
      </c>
      <c r="AW58" s="128"/>
      <c r="AX58" s="128"/>
    </row>
    <row r="59" spans="1:50" x14ac:dyDescent="0.2">
      <c r="A59" s="128">
        <v>18</v>
      </c>
      <c r="B59" s="129" t="str">
        <f>IF(COUNTIF('入 力 用'!C32,"*特級*"),"1","0")</f>
        <v>0</v>
      </c>
      <c r="C59" s="129" t="str">
        <f>IF(COUNTIF('入 力 用'!C32,"*１級*"),"２0","0")</f>
        <v>0</v>
      </c>
      <c r="D59" s="129" t="str">
        <f>IF(COUNTIF('入 力 用'!C32,"*２級*"),"３0","0")</f>
        <v>0</v>
      </c>
      <c r="E59" s="129" t="str">
        <f>IF(COUNTIF('入 力 用'!C32,"*３級*"),"４0","0")</f>
        <v>0</v>
      </c>
      <c r="F59" s="129" t="str">
        <f>IF(COUNTIF('入 力 用'!C32,"*在学*"),"30","0")</f>
        <v>0</v>
      </c>
      <c r="G59" s="129" t="str">
        <f>IF(COUNTIF('入 力 用'!C32,"*単一等級*"),"５0","0")</f>
        <v>0</v>
      </c>
      <c r="H59" s="129" t="str">
        <f>IF(COUNTIF('入 力 用'!C32,"*五輪*"),"６0","0")</f>
        <v>0</v>
      </c>
      <c r="I59" s="130"/>
      <c r="J59" s="129" t="str">
        <f>IF(COUNTIF('入 力 用'!G32,"*Ａ甲*"),"1","0")</f>
        <v>0</v>
      </c>
      <c r="K59" s="129" t="str">
        <f>IF(COUNTIF('入 力 用'!G32,"*Ａ乙*"),"2","0")</f>
        <v>0</v>
      </c>
      <c r="L59" s="129" t="str">
        <f>IF(COUNTIF('入 力 用'!G32,"*Ａ丙*"),"3","0")</f>
        <v>0</v>
      </c>
      <c r="M59" s="129" t="str">
        <f>IF(COUNTIF('入 力 用'!G32,"*Ｂ*"),"4","0")</f>
        <v>0</v>
      </c>
      <c r="N59" s="129" t="str">
        <f>IF(COUNTIF('入 力 用'!G32,"*Ｃ*"),"5","0")</f>
        <v>0</v>
      </c>
      <c r="O59" s="129" t="str">
        <f>IF(COUNTIF('入 力 用'!G32,"*Ｄ*"),"6","0")</f>
        <v>0</v>
      </c>
      <c r="P59" s="129" t="str">
        <f>IF(COUNTIF('入 力 用'!G32,"*五輪*"),"７","0")</f>
        <v>0</v>
      </c>
      <c r="Q59" s="130"/>
      <c r="R59" s="129" t="str">
        <f>IF(COUNTIF('入 力 用'!J32,"*ー*"),"100","0")</f>
        <v>0</v>
      </c>
      <c r="S59" s="129" t="str">
        <f>IF(COUNTIF('入 力 用'!J32,"*○*"),"200","0")</f>
        <v>0</v>
      </c>
      <c r="T59" s="130"/>
      <c r="U59" s="131">
        <f t="shared" si="1"/>
        <v>0</v>
      </c>
      <c r="V59" s="130"/>
      <c r="W59" s="132" t="str">
        <f t="shared" si="2"/>
        <v>無し</v>
      </c>
      <c r="X59" s="128"/>
      <c r="Y59" s="128"/>
      <c r="Z59" s="128" t="s">
        <v>110</v>
      </c>
      <c r="AA59" s="128"/>
      <c r="AB59" s="128">
        <f>COUNTIF($U$42:$U$61,271)</f>
        <v>0</v>
      </c>
      <c r="AC59" s="128"/>
      <c r="AD59" s="128"/>
      <c r="AE59" s="128"/>
      <c r="AF59" s="128"/>
      <c r="AG59" s="128"/>
      <c r="AH59" s="128" t="s">
        <v>112</v>
      </c>
      <c r="AI59" s="128"/>
      <c r="AJ59" s="128">
        <f>COUNTIF($U$42:$U$61,273)</f>
        <v>0</v>
      </c>
      <c r="AK59" s="128"/>
      <c r="AL59" s="128"/>
      <c r="AM59" s="128"/>
      <c r="AN59" s="128"/>
      <c r="AO59" s="128"/>
      <c r="AP59" s="128" t="s">
        <v>114</v>
      </c>
      <c r="AQ59" s="128"/>
      <c r="AR59" s="128">
        <f>COUNTIF($U$42:$U$61,275)</f>
        <v>0</v>
      </c>
      <c r="AS59" s="128"/>
      <c r="AT59" s="128"/>
      <c r="AU59" s="128"/>
      <c r="AV59" s="128"/>
      <c r="AW59" s="128"/>
      <c r="AX59" s="128"/>
    </row>
    <row r="60" spans="1:50" x14ac:dyDescent="0.2">
      <c r="A60" s="128">
        <v>19</v>
      </c>
      <c r="B60" s="129" t="str">
        <f>IF(COUNTIF('入 力 用'!C33,"*特級*"),"1","0")</f>
        <v>0</v>
      </c>
      <c r="C60" s="129" t="str">
        <f>IF(COUNTIF('入 力 用'!C33,"*１級*"),"２0","0")</f>
        <v>0</v>
      </c>
      <c r="D60" s="129" t="str">
        <f>IF(COUNTIF('入 力 用'!C33,"*２級*"),"３0","0")</f>
        <v>0</v>
      </c>
      <c r="E60" s="129" t="str">
        <f>IF(COUNTIF('入 力 用'!C33,"*３級*"),"４0","0")</f>
        <v>0</v>
      </c>
      <c r="F60" s="129" t="str">
        <f>IF(COUNTIF('入 力 用'!C33,"*在学*"),"30","0")</f>
        <v>0</v>
      </c>
      <c r="G60" s="129" t="str">
        <f>IF(COUNTIF('入 力 用'!C33,"*単一等級*"),"５0","0")</f>
        <v>0</v>
      </c>
      <c r="H60" s="129" t="str">
        <f>IF(COUNTIF('入 力 用'!C33,"*五輪*"),"６0","0")</f>
        <v>0</v>
      </c>
      <c r="I60" s="130"/>
      <c r="J60" s="129" t="str">
        <f>IF(COUNTIF('入 力 用'!G33,"*Ａ甲*"),"1","0")</f>
        <v>0</v>
      </c>
      <c r="K60" s="129" t="str">
        <f>IF(COUNTIF('入 力 用'!G33,"*Ａ乙*"),"2","0")</f>
        <v>0</v>
      </c>
      <c r="L60" s="129" t="str">
        <f>IF(COUNTIF('入 力 用'!G33,"*Ａ丙*"),"3","0")</f>
        <v>0</v>
      </c>
      <c r="M60" s="129" t="str">
        <f>IF(COUNTIF('入 力 用'!G33,"*Ｂ*"),"4","0")</f>
        <v>0</v>
      </c>
      <c r="N60" s="129" t="str">
        <f>IF(COUNTIF('入 力 用'!G33,"*Ｃ*"),"5","0")</f>
        <v>0</v>
      </c>
      <c r="O60" s="129" t="str">
        <f>IF(COUNTIF('入 力 用'!G33,"*Ｄ*"),"6","0")</f>
        <v>0</v>
      </c>
      <c r="P60" s="129" t="str">
        <f>IF(COUNTIF('入 力 用'!G33,"*五輪*"),"７","0")</f>
        <v>0</v>
      </c>
      <c r="Q60" s="130"/>
      <c r="R60" s="129" t="str">
        <f>IF(COUNTIF('入 力 用'!J33,"*ー*"),"100","0")</f>
        <v>0</v>
      </c>
      <c r="S60" s="129" t="str">
        <f>IF(COUNTIF('入 力 用'!J33,"*○*"),"200","0")</f>
        <v>0</v>
      </c>
      <c r="T60" s="130"/>
      <c r="U60" s="131">
        <f t="shared" si="1"/>
        <v>0</v>
      </c>
      <c r="V60" s="130"/>
      <c r="W60" s="132" t="str">
        <f t="shared" si="2"/>
        <v>無し</v>
      </c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</row>
    <row r="61" spans="1:50" x14ac:dyDescent="0.2">
      <c r="A61" s="128">
        <v>20</v>
      </c>
      <c r="B61" s="129" t="str">
        <f>IF(COUNTIF('入 力 用'!C34,"*特級*"),"1","0")</f>
        <v>0</v>
      </c>
      <c r="C61" s="129" t="str">
        <f>IF(COUNTIF('入 力 用'!C34,"*１級*"),"２0","0")</f>
        <v>0</v>
      </c>
      <c r="D61" s="129" t="str">
        <f>IF(COUNTIF('入 力 用'!C34,"*２級*"),"３0","0")</f>
        <v>0</v>
      </c>
      <c r="E61" s="129" t="str">
        <f>IF(COUNTIF('入 力 用'!C34,"*３級*"),"４0","0")</f>
        <v>0</v>
      </c>
      <c r="F61" s="129" t="str">
        <f>IF(COUNTIF('入 力 用'!C34,"*在学*"),"30","0")</f>
        <v>0</v>
      </c>
      <c r="G61" s="129" t="str">
        <f>IF(COUNTIF('入 力 用'!C34,"*単一等級*"),"５0","0")</f>
        <v>0</v>
      </c>
      <c r="H61" s="129" t="str">
        <f>IF(COUNTIF('入 力 用'!C34,"*五輪*"),"６0","0")</f>
        <v>0</v>
      </c>
      <c r="I61" s="130"/>
      <c r="J61" s="129" t="str">
        <f>IF(COUNTIF('入 力 用'!G34,"*Ａ甲*"),"1","0")</f>
        <v>0</v>
      </c>
      <c r="K61" s="129" t="str">
        <f>IF(COUNTIF('入 力 用'!G34,"*Ａ乙*"),"2","0")</f>
        <v>0</v>
      </c>
      <c r="L61" s="129" t="str">
        <f>IF(COUNTIF('入 力 用'!G34,"*Ａ丙*"),"3","0")</f>
        <v>0</v>
      </c>
      <c r="M61" s="129" t="str">
        <f>IF(COUNTIF('入 力 用'!G34,"*Ｂ*"),"4","0")</f>
        <v>0</v>
      </c>
      <c r="N61" s="129" t="str">
        <f>IF(COUNTIF('入 力 用'!G34,"*Ｃ*"),"5","0")</f>
        <v>0</v>
      </c>
      <c r="O61" s="129" t="str">
        <f>IF(COUNTIF('入 力 用'!G34,"*Ｄ*"),"6","0")</f>
        <v>0</v>
      </c>
      <c r="P61" s="129" t="str">
        <f>IF(COUNTIF('入 力 用'!G34,"*五輪*"),"７","0")</f>
        <v>0</v>
      </c>
      <c r="Q61" s="130"/>
      <c r="R61" s="129" t="str">
        <f>IF(COUNTIF('入 力 用'!J34,"*ー*"),"100","0")</f>
        <v>0</v>
      </c>
      <c r="S61" s="129" t="str">
        <f>IF(COUNTIF('入 力 用'!J34,"*○*"),"200","0")</f>
        <v>0</v>
      </c>
      <c r="T61" s="130"/>
      <c r="U61" s="131">
        <f t="shared" si="1"/>
        <v>0</v>
      </c>
      <c r="V61" s="130"/>
      <c r="W61" s="132" t="str">
        <f t="shared" si="2"/>
        <v>無し</v>
      </c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</row>
    <row r="62" spans="1:50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</row>
    <row r="63" spans="1:50" x14ac:dyDescent="0.2">
      <c r="A63" s="128"/>
      <c r="B63" s="123">
        <v>44027</v>
      </c>
      <c r="C63" s="128" t="s">
        <v>130</v>
      </c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 t="s">
        <v>122</v>
      </c>
      <c r="AE63" s="128"/>
      <c r="AF63" s="128">
        <f>COUNTIF($U$42:$U$61,167)</f>
        <v>0</v>
      </c>
      <c r="AG63" s="128"/>
      <c r="AH63" s="128"/>
      <c r="AI63" s="128"/>
      <c r="AJ63" s="128"/>
      <c r="AK63" s="128"/>
      <c r="AL63" s="128" t="s">
        <v>123</v>
      </c>
      <c r="AM63" s="128"/>
      <c r="AN63" s="128">
        <f>COUNTIF($U$42:$U$61,267)</f>
        <v>0</v>
      </c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</row>
    <row r="64" spans="1:50" x14ac:dyDescent="0.2">
      <c r="A64" s="128"/>
      <c r="B64" s="123">
        <v>44028</v>
      </c>
      <c r="C64" s="128" t="s">
        <v>131</v>
      </c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</row>
    <row r="65" spans="1:50" x14ac:dyDescent="0.2">
      <c r="A65" s="128"/>
      <c r="B65" s="124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</row>
    <row r="66" spans="1:50" x14ac:dyDescent="0.2">
      <c r="A66" s="128"/>
      <c r="B66" s="124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</row>
    <row r="67" spans="1:50" x14ac:dyDescent="0.2">
      <c r="A67" s="128"/>
      <c r="B67" s="124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</row>
    <row r="68" spans="1:50" x14ac:dyDescent="0.2">
      <c r="A68" s="128"/>
      <c r="B68" s="124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</row>
    <row r="69" spans="1:50" x14ac:dyDescent="0.2">
      <c r="A69" s="128"/>
      <c r="B69" s="124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</row>
    <row r="70" spans="1:50" x14ac:dyDescent="0.2">
      <c r="A70" s="125"/>
      <c r="B70" s="126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</row>
    <row r="71" spans="1:50" x14ac:dyDescent="0.2">
      <c r="A71" s="125"/>
      <c r="B71" s="126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</row>
    <row r="72" spans="1:50" x14ac:dyDescent="0.2">
      <c r="A72" s="125"/>
      <c r="B72" s="126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</row>
    <row r="73" spans="1:50" x14ac:dyDescent="0.2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O73" s="125"/>
      <c r="AP73" s="125"/>
      <c r="AQ73" s="125"/>
      <c r="AR73" s="125"/>
      <c r="AS73" s="125"/>
      <c r="AT73" s="125"/>
      <c r="AU73" s="125"/>
      <c r="AV73" s="125"/>
      <c r="AW73" s="125"/>
      <c r="AX73" s="125"/>
    </row>
  </sheetData>
  <sheetProtection algorithmName="SHA-512" hashValue="h8APKh7q+UqZDlen+8mzatUjzrVdpQ5o/qpzSaPizRXQ6BN6m5AjqoNui8Vm7LOnyxTL1N9XC1H89bw4AfvRAw==" saltValue="U0gfkgTigrVxI4+0z25r5g==" spinCount="100000" sheet="1" objects="1" scenarios="1" selectLockedCells="1" selectUnlockedCells="1"/>
  <mergeCells count="70">
    <mergeCell ref="B3:J3"/>
    <mergeCell ref="B4:J4"/>
    <mergeCell ref="L4:M4"/>
    <mergeCell ref="O4:P4"/>
    <mergeCell ref="E6:G6"/>
    <mergeCell ref="I6:J6"/>
    <mergeCell ref="L6:M6"/>
    <mergeCell ref="B7:C7"/>
    <mergeCell ref="D7:J7"/>
    <mergeCell ref="N8:O8"/>
    <mergeCell ref="D9:J9"/>
    <mergeCell ref="L9:M10"/>
    <mergeCell ref="B10:C10"/>
    <mergeCell ref="D10:F10"/>
    <mergeCell ref="H10:J10"/>
    <mergeCell ref="B8:C9"/>
    <mergeCell ref="D8:E8"/>
    <mergeCell ref="L8:M8"/>
    <mergeCell ref="L11:M11"/>
    <mergeCell ref="L12:M13"/>
    <mergeCell ref="B13:B14"/>
    <mergeCell ref="C13:C14"/>
    <mergeCell ref="D13:F14"/>
    <mergeCell ref="G13:G14"/>
    <mergeCell ref="H13:H14"/>
    <mergeCell ref="I13:I14"/>
    <mergeCell ref="J13:J14"/>
    <mergeCell ref="L14:M14"/>
    <mergeCell ref="C11:D11"/>
    <mergeCell ref="F11:G11"/>
    <mergeCell ref="I11:J11"/>
    <mergeCell ref="D15:F15"/>
    <mergeCell ref="L15:M16"/>
    <mergeCell ref="D16:F16"/>
    <mergeCell ref="N23:O23"/>
    <mergeCell ref="D17:F17"/>
    <mergeCell ref="L17:M17"/>
    <mergeCell ref="D18:F18"/>
    <mergeCell ref="L18:M19"/>
    <mergeCell ref="D19:F19"/>
    <mergeCell ref="D20:F20"/>
    <mergeCell ref="L20:O20"/>
    <mergeCell ref="L27:M28"/>
    <mergeCell ref="D28:F28"/>
    <mergeCell ref="D21:F21"/>
    <mergeCell ref="D22:F22"/>
    <mergeCell ref="L22:M22"/>
    <mergeCell ref="D23:F23"/>
    <mergeCell ref="L23:M23"/>
    <mergeCell ref="D24:F24"/>
    <mergeCell ref="L24:M25"/>
    <mergeCell ref="D25:F25"/>
    <mergeCell ref="D26:F26"/>
    <mergeCell ref="L26:M26"/>
    <mergeCell ref="O34:P34"/>
    <mergeCell ref="C2:I2"/>
    <mergeCell ref="L2:Q2"/>
    <mergeCell ref="D36:F36"/>
    <mergeCell ref="D29:F29"/>
    <mergeCell ref="L29:M29"/>
    <mergeCell ref="D30:F30"/>
    <mergeCell ref="L30:M31"/>
    <mergeCell ref="D31:F31"/>
    <mergeCell ref="D32:F32"/>
    <mergeCell ref="L32:M32"/>
    <mergeCell ref="D33:F33"/>
    <mergeCell ref="L33:M33"/>
    <mergeCell ref="D34:F34"/>
    <mergeCell ref="D35:F35"/>
    <mergeCell ref="D27:F27"/>
  </mergeCells>
  <phoneticPr fontId="1"/>
  <dataValidations count="4">
    <dataValidation type="list" allowBlank="1" showInputMessage="1" showErrorMessage="1" sqref="G15:G36" xr:uid="{DA6A731D-8958-4D0F-9C7C-945A78CBF809}">
      <formula1>"Ａ甲,Ａ乙,Ａ丙,Ｂ,Ｃ,Ｄ,五輪"</formula1>
    </dataValidation>
    <dataValidation type="list" allowBlank="1" showInputMessage="1" showErrorMessage="1" sqref="C15:C36" xr:uid="{13FD4555-A3A3-45A8-B8AB-DE99DC46E863}">
      <formula1>"特級,１級,２級,３級,３級在学,単一等級,五輪,２級 兼 五輪"</formula1>
    </dataValidation>
    <dataValidation allowBlank="1" showInputMessage="1" showErrorMessage="1" errorTitle="金額エラー" error="入力金額に誤りがあります。" sqref="J15:J36" xr:uid="{728DB5D7-E7E1-469D-B1FF-74D33BB3653B}"/>
    <dataValidation type="list" allowBlank="1" showInputMessage="1" showErrorMessage="1" sqref="I15:I36" xr:uid="{EDCCA40D-A23A-4239-92D2-573DC09A957E}">
      <formula1>"ー,○"</formula1>
    </dataValidation>
  </dataValidations>
  <hyperlinks>
    <hyperlink ref="I11" r:id="rId1" xr:uid="{0DCEBDC0-876A-4B7D-AE70-6D1AD2ACBB41}"/>
  </hyperlinks>
  <pageMargins left="0.7" right="0.7" top="0.75" bottom="0.75" header="0.3" footer="0.3"/>
  <pageSetup paperSize="9" scale="9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 力 用</vt:lpstr>
      <vt:lpstr>記 入 例</vt:lpstr>
      <vt:lpstr>'記 入 例'!Print_Area</vt:lpstr>
      <vt:lpstr>'入 力 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aisaka</dc:creator>
  <cp:lastModifiedBy>山口 哲平</cp:lastModifiedBy>
  <cp:lastPrinted>2024-10-07T08:20:25Z</cp:lastPrinted>
  <dcterms:created xsi:type="dcterms:W3CDTF">2016-03-29T08:05:00Z</dcterms:created>
  <dcterms:modified xsi:type="dcterms:W3CDTF">2025-08-28T08:28:13Z</dcterms:modified>
</cp:coreProperties>
</file>